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0" windowWidth="12510" windowHeight="9255" firstSheet="34" activeTab="35"/>
  </bookViews>
  <sheets>
    <sheet name="Sayfa1" sheetId="1" state="hidden" r:id="rId1"/>
    <sheet name="Sayfa2" sheetId="2" state="hidden" r:id="rId2"/>
    <sheet name="Yeni Katsayı Birlikler" sheetId="11" state="hidden" r:id="rId3"/>
    <sheet name="Tablo" sheetId="3" state="hidden" r:id="rId4"/>
    <sheet name="Ücret  " sheetId="4" state="hidden" r:id="rId5"/>
    <sheet name="Katsayı" sheetId="5" state="hidden" r:id="rId6"/>
    <sheet name="Yeni Katsayı Sağlık Tesisi" sheetId="6" state="hidden" r:id="rId7"/>
    <sheet name="Yeni Katsayı Dişük (0,5)" sheetId="7" state="hidden" r:id="rId8"/>
    <sheet name="Sayfa3" sheetId="8" state="hidden" r:id="rId9"/>
    <sheet name="Sayfa4" sheetId="9" state="hidden" r:id="rId10"/>
    <sheet name="BBB" sheetId="12" state="hidden" r:id="rId11"/>
    <sheet name="STT" sheetId="13" state="hidden" r:id="rId12"/>
    <sheet name="Sayfa5" sheetId="14" state="hidden" r:id="rId13"/>
    <sheet name="Sayfa7" sheetId="16" state="hidden" r:id="rId14"/>
    <sheet name="Sayfa6" sheetId="17" state="hidden" r:id="rId15"/>
    <sheet name="Sayfa8" sheetId="18" state="hidden" r:id="rId16"/>
    <sheet name="Başkan Sunum" sheetId="19" state="hidden" r:id="rId17"/>
    <sheet name="Başkan S - ST" sheetId="20" state="hidden" r:id="rId18"/>
    <sheet name="Başkan S - B" sheetId="21" state="hidden" r:id="rId19"/>
    <sheet name="Sayfa10" sheetId="23" state="hidden" r:id="rId20"/>
    <sheet name="Sayfa11" sheetId="24" state="hidden" r:id="rId21"/>
    <sheet name="Sayfa12" sheetId="25" state="hidden" r:id="rId22"/>
    <sheet name="0,65'e Göre" sheetId="26" state="hidden" r:id="rId23"/>
    <sheet name="0,65 - 1'e Göre" sheetId="28" state="hidden" r:id="rId24"/>
    <sheet name="0,70'e Göre" sheetId="27" state="hidden" r:id="rId25"/>
    <sheet name="0,70 - 1 'e Göre" sheetId="29" state="hidden" r:id="rId26"/>
    <sheet name="Sayfa16" sheetId="30" state="hidden" r:id="rId27"/>
    <sheet name="Sayfa17" sheetId="31" state="hidden" r:id="rId28"/>
    <sheet name="Sayfa9" sheetId="32" state="hidden" r:id="rId29"/>
    <sheet name="MERKEZ  " sheetId="33" state="hidden" r:id="rId30"/>
    <sheet name="Sayfa14" sheetId="34" state="hidden" r:id="rId31"/>
    <sheet name="ANA  16.11 Cuma" sheetId="35" state="hidden" r:id="rId32"/>
    <sheet name="Yazıcı" sheetId="36" state="hidden" r:id="rId33"/>
    <sheet name="Sayfa15" sheetId="37" state="hidden" r:id="rId34"/>
    <sheet name="Birlik" sheetId="38" r:id="rId35"/>
    <sheet name="Sağlık Tesisi" sheetId="39" r:id="rId36"/>
  </sheets>
  <externalReferences>
    <externalReference r:id="rId37"/>
  </externalReferences>
  <definedNames>
    <definedName name="_xlnm.Print_Area" localSheetId="16">'Başkan Sunum'!$A$1:$K$50</definedName>
    <definedName name="_xlnm.Print_Area" localSheetId="34">Birlik!$A$4:$L$65</definedName>
    <definedName name="_xlnm.Print_Area" localSheetId="29">'MERKEZ  '!$A$4:$Q$54</definedName>
    <definedName name="_xlnm.Print_Area" localSheetId="35">'Sağlık Tesisi'!$A$31:$L$65</definedName>
    <definedName name="_xlnm.Print_Area" localSheetId="30">Sayfa14!$A$4:$K$54</definedName>
    <definedName name="_xlnm.Print_Area" localSheetId="1">Sayfa2!$A$1:$N$50</definedName>
    <definedName name="_xlnm.Print_Area" localSheetId="15">Sayfa8!$A$1:$AW$54</definedName>
    <definedName name="_xlnm.Print_Area" localSheetId="32">Yazıcı!$A$4:$K$29</definedName>
    <definedName name="_xlnm.Print_Area" localSheetId="2">'Yeni Katsayı Birlikler'!$A$1:$L$22</definedName>
    <definedName name="_xlnm.Print_Area" localSheetId="7">'Yeni Katsayı Dişük (0,5)'!$A$1:$L$53</definedName>
    <definedName name="_xlnm.Print_Area" localSheetId="6">'Yeni Katsayı Sağlık Tesisi'!$A$1:$M$54</definedName>
    <definedName name="_xlnm.Print_Titles" localSheetId="30">Sayfa14!$4:$4</definedName>
  </definedNames>
  <calcPr calcId="145621"/>
</workbook>
</file>

<file path=xl/calcChain.xml><?xml version="1.0" encoding="utf-8"?>
<calcChain xmlns="http://schemas.openxmlformats.org/spreadsheetml/2006/main">
  <c r="L43" i="39" l="1"/>
  <c r="L44" i="39"/>
  <c r="L45" i="39"/>
  <c r="L46" i="39"/>
  <c r="L47" i="39"/>
  <c r="L48" i="39"/>
  <c r="L49" i="39"/>
  <c r="L50" i="39"/>
  <c r="L51" i="39"/>
  <c r="L52" i="39"/>
  <c r="L53" i="39"/>
  <c r="L54" i="39"/>
  <c r="L55" i="39"/>
  <c r="L56" i="39"/>
  <c r="L57" i="39"/>
  <c r="L58" i="39"/>
  <c r="L35" i="39"/>
  <c r="L36" i="39"/>
  <c r="L37" i="39"/>
  <c r="L38" i="39"/>
  <c r="L39" i="39"/>
  <c r="L40" i="39"/>
  <c r="L41" i="39"/>
  <c r="L42" i="39"/>
  <c r="L34" i="39"/>
  <c r="J36" i="39"/>
  <c r="K37" i="39"/>
  <c r="J38" i="39"/>
  <c r="J40" i="39"/>
  <c r="K41" i="39"/>
  <c r="J42" i="39"/>
  <c r="J44" i="39"/>
  <c r="K45" i="39"/>
  <c r="J46" i="39"/>
  <c r="J48" i="39"/>
  <c r="K49" i="39"/>
  <c r="J50" i="39"/>
  <c r="J52" i="39"/>
  <c r="K53" i="39"/>
  <c r="J54" i="39"/>
  <c r="J56" i="39"/>
  <c r="K57" i="39"/>
  <c r="J58" i="39"/>
  <c r="H35" i="39"/>
  <c r="J35" i="39" s="1"/>
  <c r="H36" i="39"/>
  <c r="K36" i="39" s="1"/>
  <c r="H37" i="39"/>
  <c r="J37" i="39" s="1"/>
  <c r="H38" i="39"/>
  <c r="K38" i="39" s="1"/>
  <c r="H39" i="39"/>
  <c r="J39" i="39" s="1"/>
  <c r="H40" i="39"/>
  <c r="K40" i="39" s="1"/>
  <c r="H41" i="39"/>
  <c r="J41" i="39" s="1"/>
  <c r="H42" i="39"/>
  <c r="K42" i="39" s="1"/>
  <c r="H43" i="39"/>
  <c r="J43" i="39" s="1"/>
  <c r="H44" i="39"/>
  <c r="K44" i="39" s="1"/>
  <c r="H45" i="39"/>
  <c r="J45" i="39" s="1"/>
  <c r="H46" i="39"/>
  <c r="K46" i="39" s="1"/>
  <c r="H47" i="39"/>
  <c r="J47" i="39" s="1"/>
  <c r="H48" i="39"/>
  <c r="K48" i="39" s="1"/>
  <c r="H49" i="39"/>
  <c r="J49" i="39" s="1"/>
  <c r="H50" i="39"/>
  <c r="K50" i="39" s="1"/>
  <c r="H51" i="39"/>
  <c r="J51" i="39" s="1"/>
  <c r="H52" i="39"/>
  <c r="K52" i="39" s="1"/>
  <c r="H53" i="39"/>
  <c r="J53" i="39" s="1"/>
  <c r="H54" i="39"/>
  <c r="K54" i="39" s="1"/>
  <c r="H55" i="39"/>
  <c r="J55" i="39" s="1"/>
  <c r="H56" i="39"/>
  <c r="K56" i="39" s="1"/>
  <c r="H57" i="39"/>
  <c r="J57" i="39" s="1"/>
  <c r="H58" i="39"/>
  <c r="K58" i="39" s="1"/>
  <c r="H34" i="39"/>
  <c r="K34" i="39" s="1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7" i="38"/>
  <c r="J34" i="39" l="1"/>
  <c r="K55" i="39"/>
  <c r="K51" i="39"/>
  <c r="K47" i="39"/>
  <c r="K43" i="39"/>
  <c r="K39" i="39"/>
  <c r="K35" i="39"/>
  <c r="J8" i="38"/>
  <c r="K8" i="38"/>
  <c r="J9" i="38"/>
  <c r="K9" i="38"/>
  <c r="J10" i="38"/>
  <c r="K10" i="38"/>
  <c r="L10" i="38" s="1"/>
  <c r="J11" i="38"/>
  <c r="L11" i="38" s="1"/>
  <c r="K11" i="38"/>
  <c r="J12" i="38"/>
  <c r="K12" i="38"/>
  <c r="J13" i="38"/>
  <c r="K13" i="38"/>
  <c r="J14" i="38"/>
  <c r="K14" i="38"/>
  <c r="J15" i="38"/>
  <c r="L15" i="38" s="1"/>
  <c r="K15" i="38"/>
  <c r="J16" i="38"/>
  <c r="K16" i="38"/>
  <c r="J17" i="38"/>
  <c r="K17" i="38"/>
  <c r="J18" i="38"/>
  <c r="K18" i="38"/>
  <c r="J19" i="38"/>
  <c r="L19" i="38" s="1"/>
  <c r="K19" i="38"/>
  <c r="J20" i="38"/>
  <c r="K20" i="38"/>
  <c r="J21" i="38"/>
  <c r="K21" i="38"/>
  <c r="J22" i="38"/>
  <c r="K22" i="38"/>
  <c r="J23" i="38"/>
  <c r="K23" i="38"/>
  <c r="J24" i="38"/>
  <c r="K24" i="38"/>
  <c r="J25" i="38"/>
  <c r="K25" i="38"/>
  <c r="J26" i="38"/>
  <c r="K26" i="38"/>
  <c r="L26" i="38" s="1"/>
  <c r="J27" i="38"/>
  <c r="K27" i="38"/>
  <c r="J28" i="38"/>
  <c r="K28" i="38"/>
  <c r="J29" i="38"/>
  <c r="K29" i="38"/>
  <c r="K7" i="38"/>
  <c r="J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7" i="38"/>
  <c r="L16" i="38" l="1"/>
  <c r="L27" i="38"/>
  <c r="L25" i="38"/>
  <c r="L23" i="38"/>
  <c r="L21" i="38"/>
  <c r="L12" i="38"/>
  <c r="L22" i="38"/>
  <c r="L9" i="38"/>
  <c r="L28" i="38"/>
  <c r="L24" i="38"/>
  <c r="L17" i="38"/>
  <c r="L8" i="38"/>
  <c r="L29" i="38"/>
  <c r="L20" i="38"/>
  <c r="L18" i="38"/>
  <c r="L13" i="38"/>
  <c r="L14" i="38"/>
  <c r="L7" i="38"/>
  <c r="I54" i="39"/>
  <c r="I43" i="39" l="1"/>
  <c r="I44" i="39"/>
  <c r="I45" i="39"/>
  <c r="I46" i="39"/>
  <c r="I47" i="39"/>
  <c r="I48" i="39"/>
  <c r="I49" i="39"/>
  <c r="I50" i="39"/>
  <c r="I51" i="39"/>
  <c r="I52" i="39"/>
  <c r="I53" i="39"/>
  <c r="I55" i="39"/>
  <c r="I56" i="39"/>
  <c r="I57" i="39"/>
  <c r="I58" i="39"/>
  <c r="I35" i="39"/>
  <c r="I36" i="39"/>
  <c r="I37" i="39"/>
  <c r="I38" i="39"/>
  <c r="I39" i="39"/>
  <c r="I40" i="39"/>
  <c r="I41" i="39"/>
  <c r="I42" i="39"/>
  <c r="I34" i="39"/>
  <c r="H6" i="37" l="1"/>
  <c r="Q6" i="37" s="1"/>
  <c r="H52" i="37"/>
  <c r="AU52" i="37" s="1"/>
  <c r="H30" i="37"/>
  <c r="W30" i="37" s="1"/>
  <c r="H54" i="37"/>
  <c r="AM54" i="37" s="1"/>
  <c r="F54" i="37"/>
  <c r="AP53" i="37"/>
  <c r="AD53" i="37"/>
  <c r="Q53" i="37"/>
  <c r="R53" i="37" s="1"/>
  <c r="H53" i="37"/>
  <c r="AS53" i="37" s="1"/>
  <c r="F53" i="37"/>
  <c r="F52" i="37"/>
  <c r="AM51" i="37"/>
  <c r="H51" i="37"/>
  <c r="AX51" i="37" s="1"/>
  <c r="F51" i="37"/>
  <c r="AU50" i="37"/>
  <c r="Q50" i="37"/>
  <c r="R50" i="37" s="1"/>
  <c r="H50" i="37"/>
  <c r="AF50" i="37" s="1"/>
  <c r="F50" i="37"/>
  <c r="H49" i="37"/>
  <c r="AU49" i="37" s="1"/>
  <c r="F49" i="37"/>
  <c r="H48" i="37"/>
  <c r="AU48" i="37" s="1"/>
  <c r="F48" i="37"/>
  <c r="H47" i="37"/>
  <c r="AS47" i="37" s="1"/>
  <c r="F47" i="37"/>
  <c r="H46" i="37"/>
  <c r="AU46" i="37" s="1"/>
  <c r="F46" i="37"/>
  <c r="H45" i="37"/>
  <c r="AP45" i="37" s="1"/>
  <c r="F45" i="37"/>
  <c r="H44" i="37"/>
  <c r="AC44" i="37" s="1"/>
  <c r="F44" i="37"/>
  <c r="AM43" i="37"/>
  <c r="W43" i="37"/>
  <c r="H43" i="37"/>
  <c r="AU43" i="37" s="1"/>
  <c r="F43" i="37"/>
  <c r="H42" i="37"/>
  <c r="AV42" i="37" s="1"/>
  <c r="F42" i="37"/>
  <c r="H41" i="37"/>
  <c r="AC41" i="37" s="1"/>
  <c r="F41" i="37"/>
  <c r="AV40" i="37"/>
  <c r="P40" i="37"/>
  <c r="H40" i="37"/>
  <c r="AA40" i="37" s="1"/>
  <c r="F40" i="37"/>
  <c r="H39" i="37"/>
  <c r="AV39" i="37" s="1"/>
  <c r="F39" i="37"/>
  <c r="H38" i="37"/>
  <c r="AL38" i="37" s="1"/>
  <c r="F38" i="37"/>
  <c r="H37" i="37"/>
  <c r="Z37" i="37" s="1"/>
  <c r="F37" i="37"/>
  <c r="H36" i="37"/>
  <c r="AV36" i="37" s="1"/>
  <c r="F36" i="37"/>
  <c r="H35" i="37"/>
  <c r="AL35" i="37" s="1"/>
  <c r="F35" i="37"/>
  <c r="H34" i="37"/>
  <c r="AV34" i="37" s="1"/>
  <c r="F34" i="37"/>
  <c r="H33" i="37"/>
  <c r="AP33" i="37" s="1"/>
  <c r="F33" i="37"/>
  <c r="H32" i="37"/>
  <c r="AV32" i="37" s="1"/>
  <c r="H31" i="37"/>
  <c r="AU31" i="37" s="1"/>
  <c r="F31" i="37"/>
  <c r="AV30" i="37"/>
  <c r="AU30" i="37"/>
  <c r="AS30" i="37"/>
  <c r="AI30" i="37"/>
  <c r="AF30" i="37"/>
  <c r="AA30" i="37"/>
  <c r="P30" i="37"/>
  <c r="AY30" i="37"/>
  <c r="F30" i="37"/>
  <c r="H28" i="37"/>
  <c r="AU28" i="37" s="1"/>
  <c r="F28" i="37"/>
  <c r="H27" i="37"/>
  <c r="AS27" i="37" s="1"/>
  <c r="F27" i="37"/>
  <c r="H26" i="37"/>
  <c r="AY26" i="37" s="1"/>
  <c r="F26" i="37"/>
  <c r="H25" i="37"/>
  <c r="AP25" i="37" s="1"/>
  <c r="F25" i="37"/>
  <c r="H24" i="37"/>
  <c r="AV24" i="37" s="1"/>
  <c r="F24" i="37"/>
  <c r="H23" i="37"/>
  <c r="AY23" i="37" s="1"/>
  <c r="F23" i="37"/>
  <c r="H22" i="37"/>
  <c r="AV22" i="37" s="1"/>
  <c r="F22" i="37"/>
  <c r="H21" i="37"/>
  <c r="AP21" i="37" s="1"/>
  <c r="F21" i="37"/>
  <c r="H20" i="37"/>
  <c r="AV20" i="37" s="1"/>
  <c r="F20" i="37"/>
  <c r="H19" i="37"/>
  <c r="AX19" i="37" s="1"/>
  <c r="F19" i="37"/>
  <c r="H18" i="37"/>
  <c r="X18" i="37" s="1"/>
  <c r="F18" i="37"/>
  <c r="H17" i="37"/>
  <c r="AP17" i="37" s="1"/>
  <c r="F17" i="37"/>
  <c r="H16" i="37"/>
  <c r="AJ16" i="37" s="1"/>
  <c r="F16" i="37"/>
  <c r="H15" i="37"/>
  <c r="AI15" i="37" s="1"/>
  <c r="F15" i="37"/>
  <c r="H14" i="37"/>
  <c r="AY14" i="37" s="1"/>
  <c r="F14" i="37"/>
  <c r="H13" i="37"/>
  <c r="AP13" i="37" s="1"/>
  <c r="F13" i="37"/>
  <c r="H12" i="37"/>
  <c r="AY12" i="37" s="1"/>
  <c r="F12" i="37"/>
  <c r="H11" i="37"/>
  <c r="AU11" i="37" s="1"/>
  <c r="F11" i="37"/>
  <c r="H10" i="37"/>
  <c r="AI10" i="37" s="1"/>
  <c r="F10" i="37"/>
  <c r="H9" i="37"/>
  <c r="AS9" i="37" s="1"/>
  <c r="F9" i="37"/>
  <c r="H8" i="37"/>
  <c r="AV8" i="37" s="1"/>
  <c r="F8" i="37"/>
  <c r="H7" i="37"/>
  <c r="AG7" i="37" s="1"/>
  <c r="F7" i="37"/>
  <c r="F6" i="37"/>
  <c r="AV33" i="37" l="1"/>
  <c r="Z33" i="37"/>
  <c r="AF37" i="37"/>
  <c r="AD43" i="37"/>
  <c r="AX43" i="37"/>
  <c r="AY44" i="37"/>
  <c r="W45" i="37"/>
  <c r="AG45" i="37"/>
  <c r="AU45" i="37"/>
  <c r="AM50" i="37"/>
  <c r="AM34" i="37"/>
  <c r="AV48" i="37"/>
  <c r="T30" i="37"/>
  <c r="AJ30" i="37"/>
  <c r="AL33" i="37"/>
  <c r="AV37" i="37"/>
  <c r="AF40" i="37"/>
  <c r="Q43" i="37"/>
  <c r="R43" i="37" s="1"/>
  <c r="AI43" i="37"/>
  <c r="Z45" i="37"/>
  <c r="AL45" i="37"/>
  <c r="AX45" i="37"/>
  <c r="P50" i="37"/>
  <c r="AR50" i="37"/>
  <c r="W51" i="37"/>
  <c r="Z53" i="37"/>
  <c r="AX53" i="37"/>
  <c r="AP35" i="37"/>
  <c r="AS44" i="37"/>
  <c r="AV49" i="37"/>
  <c r="AC45" i="37"/>
  <c r="AM45" i="37"/>
  <c r="AY45" i="37"/>
  <c r="AP36" i="37"/>
  <c r="Q31" i="37"/>
  <c r="R31" i="37" s="1"/>
  <c r="P33" i="37"/>
  <c r="P37" i="37"/>
  <c r="AA43" i="37"/>
  <c r="AP43" i="37"/>
  <c r="Q45" i="37"/>
  <c r="R45" i="37" s="1"/>
  <c r="AD45" i="37"/>
  <c r="AO45" i="37"/>
  <c r="W50" i="37"/>
  <c r="AU51" i="37"/>
  <c r="AL53" i="37"/>
  <c r="AP47" i="37"/>
  <c r="AV46" i="37"/>
  <c r="P10" i="37"/>
  <c r="AA10" i="37"/>
  <c r="AB10" i="37" s="1"/>
  <c r="AF10" i="37"/>
  <c r="AG23" i="37"/>
  <c r="AF14" i="37"/>
  <c r="U19" i="37"/>
  <c r="AO23" i="37"/>
  <c r="AC11" i="37"/>
  <c r="AI14" i="37"/>
  <c r="AL19" i="37"/>
  <c r="AX23" i="37"/>
  <c r="AY10" i="37"/>
  <c r="AZ10" i="37" s="1"/>
  <c r="W23" i="37"/>
  <c r="AD7" i="37"/>
  <c r="Z21" i="37"/>
  <c r="AL21" i="37"/>
  <c r="AX21" i="37"/>
  <c r="AC27" i="37"/>
  <c r="AA28" i="37"/>
  <c r="AL28" i="37"/>
  <c r="AX28" i="37"/>
  <c r="AY28" i="37" s="1"/>
  <c r="AP12" i="37"/>
  <c r="Q28" i="37"/>
  <c r="R28" i="37" s="1"/>
  <c r="Q24" i="37"/>
  <c r="R24" i="37" s="1"/>
  <c r="Q20" i="37"/>
  <c r="R20" i="37" s="1"/>
  <c r="Q16" i="37"/>
  <c r="R16" i="37" s="1"/>
  <c r="Q12" i="37"/>
  <c r="Q8" i="37"/>
  <c r="T26" i="37"/>
  <c r="T22" i="37"/>
  <c r="T18" i="37"/>
  <c r="T14" i="37"/>
  <c r="T10" i="37"/>
  <c r="AX7" i="37"/>
  <c r="AY11" i="37"/>
  <c r="U7" i="37"/>
  <c r="AL7" i="37"/>
  <c r="AG11" i="37"/>
  <c r="P16" i="37"/>
  <c r="AL17" i="37"/>
  <c r="W7" i="37"/>
  <c r="AO7" i="37"/>
  <c r="AV10" i="37"/>
  <c r="Z11" i="37"/>
  <c r="AI11" i="37"/>
  <c r="AS11" i="37"/>
  <c r="AF16" i="37"/>
  <c r="W17" i="37"/>
  <c r="AM17" i="37"/>
  <c r="AA19" i="37"/>
  <c r="AS19" i="37"/>
  <c r="AC21" i="37"/>
  <c r="AM21" i="37"/>
  <c r="AY21" i="37"/>
  <c r="AM23" i="37"/>
  <c r="Z25" i="37"/>
  <c r="AO27" i="37"/>
  <c r="AC28" i="37"/>
  <c r="AO28" i="37"/>
  <c r="U26" i="37"/>
  <c r="AA23" i="37"/>
  <c r="AY7" i="37"/>
  <c r="Q27" i="37"/>
  <c r="Q23" i="37"/>
  <c r="Q19" i="37"/>
  <c r="Q15" i="37"/>
  <c r="R15" i="37" s="1"/>
  <c r="Q11" i="37"/>
  <c r="R11" i="37" s="1"/>
  <c r="Q7" i="37"/>
  <c r="R7" i="37" s="1"/>
  <c r="T25" i="37"/>
  <c r="T21" i="37"/>
  <c r="T17" i="37"/>
  <c r="T13" i="37"/>
  <c r="T9" i="37"/>
  <c r="AC7" i="37"/>
  <c r="AU7" i="37"/>
  <c r="AA11" i="37"/>
  <c r="AL11" i="37"/>
  <c r="AX11" i="37"/>
  <c r="AV16" i="37"/>
  <c r="AW16" i="37" s="1"/>
  <c r="AC17" i="37"/>
  <c r="AU17" i="37"/>
  <c r="AC19" i="37"/>
  <c r="AU19" i="37"/>
  <c r="AD21" i="37"/>
  <c r="AO21" i="37"/>
  <c r="AF25" i="37"/>
  <c r="AY27" i="37"/>
  <c r="U28" i="37"/>
  <c r="AG28" i="37"/>
  <c r="AP28" i="37"/>
  <c r="AM16" i="37"/>
  <c r="AP20" i="37"/>
  <c r="Q26" i="37"/>
  <c r="Q22" i="37"/>
  <c r="Q18" i="37"/>
  <c r="Q14" i="37"/>
  <c r="Q10" i="37"/>
  <c r="T28" i="37"/>
  <c r="T24" i="37"/>
  <c r="T20" i="37"/>
  <c r="T16" i="37"/>
  <c r="T12" i="37"/>
  <c r="T8" i="37"/>
  <c r="AO11" i="37"/>
  <c r="AD17" i="37"/>
  <c r="AX17" i="37"/>
  <c r="AI19" i="37"/>
  <c r="W21" i="37"/>
  <c r="AG21" i="37"/>
  <c r="AU21" i="37"/>
  <c r="Z23" i="37"/>
  <c r="AU23" i="37"/>
  <c r="P27" i="37"/>
  <c r="AT27" i="37" s="1"/>
  <c r="Z28" i="37"/>
  <c r="AI28" i="37"/>
  <c r="AS28" i="37"/>
  <c r="X14" i="37"/>
  <c r="AD26" i="37"/>
  <c r="AP8" i="37"/>
  <c r="Q25" i="37"/>
  <c r="R25" i="37" s="1"/>
  <c r="Q21" i="37"/>
  <c r="R21" i="37" s="1"/>
  <c r="Q17" i="37"/>
  <c r="R17" i="37" s="1"/>
  <c r="Q13" i="37"/>
  <c r="R13" i="37" s="1"/>
  <c r="Q9" i="37"/>
  <c r="R9" i="37" s="1"/>
  <c r="T27" i="37"/>
  <c r="T23" i="37"/>
  <c r="T19" i="37"/>
  <c r="T15" i="37"/>
  <c r="T11" i="37"/>
  <c r="T7" i="37"/>
  <c r="AV35" i="37"/>
  <c r="Z39" i="37"/>
  <c r="AS41" i="37"/>
  <c r="AM42" i="37"/>
  <c r="W47" i="37"/>
  <c r="AD47" i="37"/>
  <c r="AM47" i="37"/>
  <c r="AU47" i="37"/>
  <c r="W49" i="37"/>
  <c r="AG49" i="37"/>
  <c r="AO49" i="37"/>
  <c r="AX49" i="37"/>
  <c r="AY49" i="37" s="1"/>
  <c r="AA51" i="37"/>
  <c r="AI51" i="37"/>
  <c r="AP51" i="37"/>
  <c r="AY51" i="37"/>
  <c r="Q52" i="37"/>
  <c r="R52" i="37" s="1"/>
  <c r="AJ52" i="37"/>
  <c r="AA34" i="37"/>
  <c r="AX34" i="37"/>
  <c r="Q35" i="37"/>
  <c r="R35" i="37" s="1"/>
  <c r="AA36" i="37"/>
  <c r="AV38" i="37"/>
  <c r="Z42" i="37"/>
  <c r="AF33" i="37"/>
  <c r="AF34" i="37"/>
  <c r="Z35" i="37"/>
  <c r="AF36" i="37"/>
  <c r="AP37" i="37"/>
  <c r="P38" i="37"/>
  <c r="AF39" i="37"/>
  <c r="AL40" i="37"/>
  <c r="P41" i="37"/>
  <c r="AT41" i="37" s="1"/>
  <c r="AA42" i="37"/>
  <c r="AR42" i="37"/>
  <c r="Z43" i="37"/>
  <c r="AG43" i="37"/>
  <c r="AO43" i="37"/>
  <c r="AY43" i="37"/>
  <c r="Z47" i="37"/>
  <c r="AG47" i="37"/>
  <c r="AO47" i="37"/>
  <c r="AX47" i="37"/>
  <c r="Z49" i="37"/>
  <c r="AI49" i="37"/>
  <c r="AP49" i="37"/>
  <c r="Q51" i="37"/>
  <c r="R51" i="37" s="1"/>
  <c r="AC51" i="37"/>
  <c r="AL51" i="37"/>
  <c r="AS51" i="37"/>
  <c r="U52" i="37"/>
  <c r="AM52" i="37"/>
  <c r="AC53" i="37"/>
  <c r="AO53" i="37"/>
  <c r="AA47" i="37"/>
  <c r="AI47" i="37"/>
  <c r="AC49" i="37"/>
  <c r="AL49" i="37"/>
  <c r="W52" i="37"/>
  <c r="AR52" i="37"/>
  <c r="AL34" i="37"/>
  <c r="AF35" i="37"/>
  <c r="AL36" i="37"/>
  <c r="AF38" i="37"/>
  <c r="AP39" i="37"/>
  <c r="U41" i="37"/>
  <c r="AD42" i="37"/>
  <c r="AS42" i="37"/>
  <c r="AY47" i="37"/>
  <c r="AS49" i="37"/>
  <c r="AC30" i="37"/>
  <c r="AG30" i="37" s="1"/>
  <c r="AH30" i="37" s="1"/>
  <c r="AO30" i="37"/>
  <c r="Q33" i="37"/>
  <c r="P34" i="37"/>
  <c r="P35" i="37"/>
  <c r="P36" i="37"/>
  <c r="P39" i="37"/>
  <c r="W42" i="37"/>
  <c r="AI42" i="37"/>
  <c r="AY42" i="37"/>
  <c r="AC43" i="37"/>
  <c r="AL43" i="37"/>
  <c r="AA45" i="37"/>
  <c r="AI45" i="37"/>
  <c r="Q47" i="37"/>
  <c r="R47" i="37" s="1"/>
  <c r="AC47" i="37"/>
  <c r="AL47" i="37"/>
  <c r="Q49" i="37"/>
  <c r="R49" i="37" s="1"/>
  <c r="AD49" i="37"/>
  <c r="AM49" i="37"/>
  <c r="Z51" i="37"/>
  <c r="AG51" i="37"/>
  <c r="AO51" i="37"/>
  <c r="P52" i="37"/>
  <c r="AF52" i="37"/>
  <c r="U53" i="37"/>
  <c r="AI9" i="37"/>
  <c r="AY9" i="37"/>
  <c r="AI13" i="37"/>
  <c r="Z15" i="37"/>
  <c r="AY15" i="37"/>
  <c r="Z7" i="37"/>
  <c r="AP7" i="37"/>
  <c r="AC9" i="37"/>
  <c r="AL9" i="37"/>
  <c r="AC13" i="37"/>
  <c r="AL13" i="37"/>
  <c r="AU13" i="37"/>
  <c r="AA15" i="37"/>
  <c r="AL15" i="37"/>
  <c r="AS15" i="37"/>
  <c r="Z17" i="37"/>
  <c r="AG17" i="37"/>
  <c r="AO17" i="37"/>
  <c r="AY17" i="37"/>
  <c r="W19" i="37"/>
  <c r="AD19" i="37"/>
  <c r="AA7" i="37"/>
  <c r="AI7" i="37"/>
  <c r="AM7" i="37" s="1"/>
  <c r="AS7" i="37"/>
  <c r="W9" i="37"/>
  <c r="AD9" i="37"/>
  <c r="AM9" i="37"/>
  <c r="AU9" i="37"/>
  <c r="W11" i="37"/>
  <c r="AD11" i="37"/>
  <c r="AM11" i="37"/>
  <c r="W13" i="37"/>
  <c r="AD13" i="37"/>
  <c r="AM13" i="37"/>
  <c r="AX13" i="37"/>
  <c r="P14" i="37"/>
  <c r="AC15" i="37"/>
  <c r="AM15" i="37"/>
  <c r="AU15" i="37"/>
  <c r="AA17" i="37"/>
  <c r="AI17" i="37"/>
  <c r="R19" i="37"/>
  <c r="Z19" i="37"/>
  <c r="AG19" i="37"/>
  <c r="AP19" i="37"/>
  <c r="AY19" i="37"/>
  <c r="AA21" i="37"/>
  <c r="AI21" i="37"/>
  <c r="R23" i="37"/>
  <c r="AC23" i="37"/>
  <c r="AD23" i="37" s="1"/>
  <c r="AL23" i="37"/>
  <c r="AS23" i="37"/>
  <c r="P25" i="37"/>
  <c r="AV25" i="37"/>
  <c r="AC26" i="37"/>
  <c r="AL26" i="37"/>
  <c r="AS26" i="37"/>
  <c r="U27" i="37"/>
  <c r="AI27" i="37"/>
  <c r="AU27" i="37"/>
  <c r="W28" i="37"/>
  <c r="AM28" i="37"/>
  <c r="Z9" i="37"/>
  <c r="AG9" i="37"/>
  <c r="AO9" i="37"/>
  <c r="AX9" i="37"/>
  <c r="Z13" i="37"/>
  <c r="AG13" i="37"/>
  <c r="AO13" i="37"/>
  <c r="AY13" i="37"/>
  <c r="W15" i="37"/>
  <c r="AD15" i="37"/>
  <c r="AO15" i="37"/>
  <c r="AX15" i="37"/>
  <c r="W26" i="37"/>
  <c r="AM26" i="37"/>
  <c r="AU26" i="37"/>
  <c r="AA27" i="37"/>
  <c r="AB27" i="37" s="1"/>
  <c r="AV27" i="37"/>
  <c r="AW27" i="37" s="1"/>
  <c r="AA9" i="37"/>
  <c r="AP15" i="37"/>
  <c r="Z26" i="37"/>
  <c r="AO26" i="37"/>
  <c r="AX26" i="37"/>
  <c r="AP9" i="37"/>
  <c r="AA13" i="37"/>
  <c r="AO19" i="37"/>
  <c r="AI23" i="37"/>
  <c r="AP23" i="37"/>
  <c r="R26" i="37"/>
  <c r="AA26" i="37"/>
  <c r="AI26" i="37"/>
  <c r="AP26" i="37"/>
  <c r="AF27" i="37"/>
  <c r="AG8" i="37"/>
  <c r="AR8" i="37"/>
  <c r="AI8" i="37"/>
  <c r="AS8" i="37"/>
  <c r="AU12" i="37"/>
  <c r="AJ8" i="37"/>
  <c r="AO8" i="37"/>
  <c r="AU8" i="37"/>
  <c r="AO10" i="37"/>
  <c r="AC10" i="37"/>
  <c r="U10" i="37"/>
  <c r="V10" i="37" s="1"/>
  <c r="AX10" i="37"/>
  <c r="AP10" i="37"/>
  <c r="AQ10" i="37" s="1"/>
  <c r="AL10" i="37"/>
  <c r="AM10" i="37" s="1"/>
  <c r="AN10" i="37" s="1"/>
  <c r="AD10" i="37"/>
  <c r="AE10" i="37" s="1"/>
  <c r="Z10" i="37"/>
  <c r="AS10" i="37"/>
  <c r="AT10" i="37" s="1"/>
  <c r="AG10" i="37"/>
  <c r="AH10" i="37" s="1"/>
  <c r="AJ10" i="37"/>
  <c r="AK10" i="37" s="1"/>
  <c r="AR10" i="37"/>
  <c r="P12" i="37"/>
  <c r="AF12" i="37"/>
  <c r="AV12" i="37"/>
  <c r="AG14" i="37"/>
  <c r="R14" i="37"/>
  <c r="AX14" i="37"/>
  <c r="AP14" i="37"/>
  <c r="AQ14" i="37" s="1"/>
  <c r="AL14" i="37"/>
  <c r="AD14" i="37"/>
  <c r="Z14" i="37"/>
  <c r="AS14" i="37"/>
  <c r="AO14" i="37"/>
  <c r="AC14" i="37"/>
  <c r="AJ14" i="37"/>
  <c r="AK14" i="37" s="1"/>
  <c r="AR14" i="37"/>
  <c r="P18" i="37"/>
  <c r="P8" i="37"/>
  <c r="AA8" i="37"/>
  <c r="AF8" i="37"/>
  <c r="W10" i="37"/>
  <c r="X10" i="37" s="1"/>
  <c r="AU10" i="37"/>
  <c r="AA12" i="37"/>
  <c r="AB12" i="37" s="1"/>
  <c r="AI12" i="37"/>
  <c r="W14" i="37"/>
  <c r="AM14" i="37"/>
  <c r="AN14" i="37" s="1"/>
  <c r="AU14" i="37"/>
  <c r="AS16" i="37"/>
  <c r="AT16" i="37" s="1"/>
  <c r="AG16" i="37"/>
  <c r="AH16" i="37" s="1"/>
  <c r="AY16" i="37"/>
  <c r="AZ16" i="37" s="1"/>
  <c r="AU16" i="37"/>
  <c r="AI16" i="37"/>
  <c r="AA16" i="37"/>
  <c r="AB16" i="37" s="1"/>
  <c r="W16" i="37"/>
  <c r="X16" i="37" s="1"/>
  <c r="Y16" i="37" s="1"/>
  <c r="AX16" i="37"/>
  <c r="AL16" i="37"/>
  <c r="AD16" i="37"/>
  <c r="AE16" i="37" s="1"/>
  <c r="Z16" i="37"/>
  <c r="AO16" i="37"/>
  <c r="AK16" i="37"/>
  <c r="AC16" i="37"/>
  <c r="U16" i="37"/>
  <c r="V16" i="37" s="1"/>
  <c r="AR16" i="37"/>
  <c r="AX8" i="37"/>
  <c r="AL8" i="37"/>
  <c r="AD8" i="37"/>
  <c r="Z8" i="37"/>
  <c r="R8" i="37"/>
  <c r="AX12" i="37"/>
  <c r="AL12" i="37"/>
  <c r="AD12" i="37"/>
  <c r="Z12" i="37"/>
  <c r="AO12" i="37"/>
  <c r="AG12" i="37"/>
  <c r="AC12" i="37"/>
  <c r="R12" i="37"/>
  <c r="AJ12" i="37"/>
  <c r="AR12" i="37"/>
  <c r="W8" i="37"/>
  <c r="AM8" i="37"/>
  <c r="AC8" i="37"/>
  <c r="AY8" i="37"/>
  <c r="AM12" i="37"/>
  <c r="AS18" i="37"/>
  <c r="AC18" i="37"/>
  <c r="AV18" i="37"/>
  <c r="AW18" i="37" s="1"/>
  <c r="AR18" i="37"/>
  <c r="AF18" i="37"/>
  <c r="AY18" i="37"/>
  <c r="AU18" i="37"/>
  <c r="AM18" i="37"/>
  <c r="AI18" i="37"/>
  <c r="AA18" i="37"/>
  <c r="W18" i="37"/>
  <c r="AX18" i="37"/>
  <c r="AP18" i="37"/>
  <c r="AL18" i="37"/>
  <c r="AD18" i="37"/>
  <c r="AE18" i="37" s="1"/>
  <c r="Z18" i="37"/>
  <c r="AO18" i="37"/>
  <c r="AG18" i="37"/>
  <c r="Y18" i="37"/>
  <c r="R18" i="37"/>
  <c r="W12" i="37"/>
  <c r="AC20" i="37"/>
  <c r="AG20" i="37"/>
  <c r="AO20" i="37"/>
  <c r="AY20" i="37"/>
  <c r="AC22" i="37"/>
  <c r="AI22" i="37"/>
  <c r="AY22" i="37"/>
  <c r="P7" i="37"/>
  <c r="X7" i="37"/>
  <c r="AF7" i="37"/>
  <c r="AJ7" i="37"/>
  <c r="AR7" i="37"/>
  <c r="AV7" i="37"/>
  <c r="P9" i="37"/>
  <c r="U9" i="37"/>
  <c r="AF9" i="37"/>
  <c r="AR9" i="37"/>
  <c r="AV9" i="37"/>
  <c r="P11" i="37"/>
  <c r="AB11" i="37" s="1"/>
  <c r="AF11" i="37"/>
  <c r="AJ11" i="37"/>
  <c r="AR11" i="37"/>
  <c r="AV11" i="37"/>
  <c r="P13" i="37"/>
  <c r="U13" i="37"/>
  <c r="AF13" i="37"/>
  <c r="AJ13" i="37"/>
  <c r="AR13" i="37"/>
  <c r="AV13" i="37"/>
  <c r="P15" i="37"/>
  <c r="AZ15" i="37" s="1"/>
  <c r="X15" i="37"/>
  <c r="AF15" i="37"/>
  <c r="AJ15" i="37"/>
  <c r="AR15" i="37"/>
  <c r="AV15" i="37"/>
  <c r="P17" i="37"/>
  <c r="U17" i="37"/>
  <c r="AF17" i="37"/>
  <c r="AJ17" i="37"/>
  <c r="AR17" i="37"/>
  <c r="AV17" i="37"/>
  <c r="P19" i="37"/>
  <c r="AF19" i="37"/>
  <c r="AJ19" i="37"/>
  <c r="AR19" i="37"/>
  <c r="AV19" i="37"/>
  <c r="Z20" i="37"/>
  <c r="AD20" i="37"/>
  <c r="AL20" i="37"/>
  <c r="AU20" i="37"/>
  <c r="AJ22" i="37"/>
  <c r="AO22" i="37"/>
  <c r="AU22" i="37"/>
  <c r="AJ24" i="37"/>
  <c r="AO24" i="37"/>
  <c r="AU24" i="37"/>
  <c r="X25" i="37"/>
  <c r="Y25" i="37" s="1"/>
  <c r="AC25" i="37"/>
  <c r="AS25" i="37"/>
  <c r="AX25" i="37"/>
  <c r="AX27" i="37"/>
  <c r="AP27" i="37"/>
  <c r="AQ27" i="37" s="1"/>
  <c r="AL27" i="37"/>
  <c r="AD27" i="37"/>
  <c r="AE27" i="37" s="1"/>
  <c r="Z27" i="37"/>
  <c r="V27" i="37"/>
  <c r="R27" i="37"/>
  <c r="S27" i="37" s="1"/>
  <c r="W27" i="37"/>
  <c r="AG27" i="37"/>
  <c r="AM27" i="37"/>
  <c r="AN27" i="37" s="1"/>
  <c r="AR27" i="37"/>
  <c r="AZ30" i="37"/>
  <c r="AX30" i="37"/>
  <c r="AT30" i="37"/>
  <c r="AP30" i="37"/>
  <c r="AQ30" i="37" s="1"/>
  <c r="AL30" i="37"/>
  <c r="AD30" i="37"/>
  <c r="AE30" i="37" s="1"/>
  <c r="Z30" i="37"/>
  <c r="Q30" i="37"/>
  <c r="U30" i="37" s="1"/>
  <c r="V30" i="37" s="1"/>
  <c r="AB30" i="37"/>
  <c r="AM30" i="37"/>
  <c r="AN30" i="37" s="1"/>
  <c r="AR30" i="37"/>
  <c r="AW30" i="37"/>
  <c r="U31" i="37"/>
  <c r="AJ31" i="37"/>
  <c r="P32" i="37"/>
  <c r="AW32" i="37" s="1"/>
  <c r="W32" i="37"/>
  <c r="AD32" i="37"/>
  <c r="AL32" i="37"/>
  <c r="AR32" i="37"/>
  <c r="AY33" i="37"/>
  <c r="AZ33" i="37" s="1"/>
  <c r="AU33" i="37"/>
  <c r="AQ33" i="37"/>
  <c r="AM33" i="37"/>
  <c r="AI33" i="37"/>
  <c r="AJ33" i="37" s="1"/>
  <c r="AK33" i="37" s="1"/>
  <c r="AA33" i="37"/>
  <c r="AB33" i="37" s="1"/>
  <c r="W33" i="37"/>
  <c r="AX33" i="37"/>
  <c r="AS33" i="37"/>
  <c r="AT33" i="37" s="1"/>
  <c r="AN33" i="37"/>
  <c r="AC33" i="37"/>
  <c r="AO33" i="37"/>
  <c r="AD33" i="37"/>
  <c r="AE33" i="37" s="1"/>
  <c r="T33" i="37"/>
  <c r="AG33" i="37"/>
  <c r="AH33" i="37" s="1"/>
  <c r="AR33" i="37"/>
  <c r="AW34" i="37"/>
  <c r="AS34" i="37"/>
  <c r="AO34" i="37"/>
  <c r="AK34" i="37"/>
  <c r="AG34" i="37"/>
  <c r="AH34" i="37" s="1"/>
  <c r="AC34" i="37"/>
  <c r="Q34" i="37"/>
  <c r="AY34" i="37"/>
  <c r="AZ34" i="37" s="1"/>
  <c r="AT34" i="37"/>
  <c r="AI34" i="37"/>
  <c r="AD34" i="37"/>
  <c r="AE34" i="37" s="1"/>
  <c r="AU34" i="37"/>
  <c r="AP34" i="37"/>
  <c r="AQ34" i="37" s="1"/>
  <c r="AJ34" i="37"/>
  <c r="Z34" i="37"/>
  <c r="T34" i="37"/>
  <c r="W34" i="37"/>
  <c r="AR34" i="37"/>
  <c r="AY35" i="37"/>
  <c r="AZ35" i="37" s="1"/>
  <c r="AU35" i="37"/>
  <c r="AM35" i="37"/>
  <c r="AN35" i="37" s="1"/>
  <c r="AI35" i="37"/>
  <c r="AA35" i="37"/>
  <c r="AB35" i="37" s="1"/>
  <c r="W35" i="37"/>
  <c r="S35" i="37"/>
  <c r="AX35" i="37"/>
  <c r="AC35" i="37"/>
  <c r="AO35" i="37"/>
  <c r="AQ35" i="37" s="1"/>
  <c r="AJ35" i="37"/>
  <c r="AD35" i="37"/>
  <c r="AE35" i="37" s="1"/>
  <c r="T35" i="37"/>
  <c r="AG35" i="37"/>
  <c r="AH35" i="37" s="1"/>
  <c r="AR35" i="37"/>
  <c r="AS35" i="37" s="1"/>
  <c r="AT35" i="37" s="1"/>
  <c r="W20" i="37"/>
  <c r="AA20" i="37"/>
  <c r="AI20" i="37"/>
  <c r="AM20" i="37"/>
  <c r="P22" i="37"/>
  <c r="AW22" i="37" s="1"/>
  <c r="AA22" i="37"/>
  <c r="AF22" i="37"/>
  <c r="P24" i="37"/>
  <c r="AW24" i="37" s="1"/>
  <c r="AF24" i="37"/>
  <c r="AJ25" i="37"/>
  <c r="AO25" i="37"/>
  <c r="P31" i="37"/>
  <c r="W31" i="37"/>
  <c r="AR31" i="37"/>
  <c r="AF32" i="37"/>
  <c r="AM32" i="37"/>
  <c r="AK35" i="37"/>
  <c r="AX20" i="37"/>
  <c r="P20" i="37"/>
  <c r="AF20" i="37"/>
  <c r="AJ20" i="37"/>
  <c r="AR20" i="37"/>
  <c r="AX22" i="37"/>
  <c r="AP22" i="37"/>
  <c r="AL22" i="37"/>
  <c r="AD22" i="37"/>
  <c r="Z22" i="37"/>
  <c r="R22" i="37"/>
  <c r="W22" i="37"/>
  <c r="AG22" i="37"/>
  <c r="AM22" i="37"/>
  <c r="AR22" i="37"/>
  <c r="AS22" i="37" s="1"/>
  <c r="AX24" i="37"/>
  <c r="AP24" i="37"/>
  <c r="AL24" i="37"/>
  <c r="AD24" i="37"/>
  <c r="Z24" i="37"/>
  <c r="W24" i="37"/>
  <c r="AG24" i="37"/>
  <c r="AM24" i="37"/>
  <c r="AR24" i="37"/>
  <c r="AF31" i="37"/>
  <c r="AM31" i="37"/>
  <c r="AN31" i="37" s="1"/>
  <c r="AO32" i="37"/>
  <c r="AG32" i="37"/>
  <c r="AH32" i="37" s="1"/>
  <c r="AC32" i="37"/>
  <c r="Q32" i="37"/>
  <c r="R32" i="37" s="1"/>
  <c r="AY32" i="37"/>
  <c r="AU32" i="37"/>
  <c r="AP32" i="37"/>
  <c r="AJ32" i="37"/>
  <c r="Z32" i="37"/>
  <c r="T32" i="37"/>
  <c r="AA32" i="37"/>
  <c r="AB32" i="37" s="1"/>
  <c r="AX32" i="37"/>
  <c r="X33" i="37"/>
  <c r="Y33" i="37" s="1"/>
  <c r="R33" i="37"/>
  <c r="S33" i="37" s="1"/>
  <c r="AB34" i="37"/>
  <c r="X24" i="37"/>
  <c r="AC24" i="37"/>
  <c r="AI24" i="37"/>
  <c r="AS24" i="37"/>
  <c r="AT24" i="37" s="1"/>
  <c r="AY24" i="37"/>
  <c r="AY25" i="37"/>
  <c r="AU25" i="37"/>
  <c r="AQ25" i="37"/>
  <c r="AM25" i="37"/>
  <c r="AI25" i="37"/>
  <c r="AA25" i="37"/>
  <c r="W25" i="37"/>
  <c r="AG25" i="37"/>
  <c r="AH25" i="37" s="1"/>
  <c r="AL25" i="37"/>
  <c r="AR25" i="37"/>
  <c r="AK30" i="37"/>
  <c r="AX31" i="37"/>
  <c r="AL31" i="37"/>
  <c r="AD31" i="37"/>
  <c r="Z31" i="37"/>
  <c r="AY31" i="37"/>
  <c r="AS31" i="37"/>
  <c r="AT31" i="37" s="1"/>
  <c r="AI31" i="37"/>
  <c r="AC31" i="37"/>
  <c r="T31" i="37"/>
  <c r="AA31" i="37"/>
  <c r="AG31" i="37"/>
  <c r="AO31" i="37"/>
  <c r="AV31" i="37"/>
  <c r="AI32" i="37"/>
  <c r="P21" i="37"/>
  <c r="U21" i="37"/>
  <c r="AF21" i="37"/>
  <c r="AJ21" i="37"/>
  <c r="AR21" i="37"/>
  <c r="AS21" i="37" s="1"/>
  <c r="AV21" i="37"/>
  <c r="P23" i="37"/>
  <c r="AN23" i="37" s="1"/>
  <c r="U23" i="37"/>
  <c r="X23" i="37"/>
  <c r="AF23" i="37"/>
  <c r="AJ23" i="37"/>
  <c r="AR23" i="37"/>
  <c r="AV23" i="37"/>
  <c r="P26" i="37"/>
  <c r="AN26" i="37" s="1"/>
  <c r="X26" i="37"/>
  <c r="AF26" i="37"/>
  <c r="AJ26" i="37"/>
  <c r="AR26" i="37"/>
  <c r="AV26" i="37"/>
  <c r="P28" i="37"/>
  <c r="AN28" i="37" s="1"/>
  <c r="X28" i="37"/>
  <c r="AF28" i="37"/>
  <c r="AJ28" i="37"/>
  <c r="AR28" i="37"/>
  <c r="AV28" i="37"/>
  <c r="T36" i="37"/>
  <c r="Z36" i="37"/>
  <c r="AJ36" i="37"/>
  <c r="AK36" i="37" s="1"/>
  <c r="AU36" i="37"/>
  <c r="T37" i="37"/>
  <c r="AD37" i="37"/>
  <c r="AE37" i="37" s="1"/>
  <c r="AJ37" i="37"/>
  <c r="AK37" i="37" s="1"/>
  <c r="AO37" i="37"/>
  <c r="T38" i="37"/>
  <c r="Z38" i="37"/>
  <c r="AJ38" i="37"/>
  <c r="AP38" i="37"/>
  <c r="AQ38" i="37" s="1"/>
  <c r="AU38" i="37"/>
  <c r="T39" i="37"/>
  <c r="AD39" i="37"/>
  <c r="AJ39" i="37"/>
  <c r="AK39" i="37" s="1"/>
  <c r="AO39" i="37"/>
  <c r="T40" i="37"/>
  <c r="Z40" i="37"/>
  <c r="AJ40" i="37"/>
  <c r="AK40" i="37" s="1"/>
  <c r="AU40" i="37"/>
  <c r="T41" i="37"/>
  <c r="AJ41" i="37"/>
  <c r="AK41" i="37" s="1"/>
  <c r="AR41" i="37"/>
  <c r="Q44" i="37"/>
  <c r="R44" i="37" s="1"/>
  <c r="AM44" i="37"/>
  <c r="AW36" i="37"/>
  <c r="AS36" i="37"/>
  <c r="AO36" i="37"/>
  <c r="AQ36" i="37" s="1"/>
  <c r="AG36" i="37"/>
  <c r="AC36" i="37"/>
  <c r="Q36" i="37"/>
  <c r="R36" i="37" s="1"/>
  <c r="W36" i="37"/>
  <c r="X36" i="37" s="1"/>
  <c r="Y36" i="37" s="1"/>
  <c r="AM36" i="37"/>
  <c r="AN36" i="37" s="1"/>
  <c r="AR36" i="37"/>
  <c r="AX36" i="37"/>
  <c r="AY37" i="37"/>
  <c r="AZ37" i="37" s="1"/>
  <c r="AU37" i="37"/>
  <c r="AQ37" i="37"/>
  <c r="AM37" i="37"/>
  <c r="AI37" i="37"/>
  <c r="AA37" i="37"/>
  <c r="AB37" i="37" s="1"/>
  <c r="W37" i="37"/>
  <c r="Q37" i="37"/>
  <c r="R37" i="37" s="1"/>
  <c r="S37" i="37" s="1"/>
  <c r="AG37" i="37"/>
  <c r="AH37" i="37" s="1"/>
  <c r="AL37" i="37"/>
  <c r="AR37" i="37"/>
  <c r="AW37" i="37"/>
  <c r="AW38" i="37"/>
  <c r="AS38" i="37"/>
  <c r="AO38" i="37"/>
  <c r="AG38" i="37"/>
  <c r="AC38" i="37"/>
  <c r="Q38" i="37"/>
  <c r="W38" i="37"/>
  <c r="AH38" i="37"/>
  <c r="AM38" i="37"/>
  <c r="AN38" i="37" s="1"/>
  <c r="AR38" i="37"/>
  <c r="AX38" i="37"/>
  <c r="AY39" i="37"/>
  <c r="AZ39" i="37" s="1"/>
  <c r="AU39" i="37"/>
  <c r="AQ39" i="37"/>
  <c r="AM39" i="37"/>
  <c r="AN39" i="37" s="1"/>
  <c r="AI39" i="37"/>
  <c r="AE39" i="37"/>
  <c r="AA39" i="37"/>
  <c r="AB39" i="37" s="1"/>
  <c r="W39" i="37"/>
  <c r="Q39" i="37"/>
  <c r="AL39" i="37"/>
  <c r="AR39" i="37"/>
  <c r="AW39" i="37"/>
  <c r="AW40" i="37"/>
  <c r="AS40" i="37"/>
  <c r="AT40" i="37" s="1"/>
  <c r="AO40" i="37"/>
  <c r="AG40" i="37"/>
  <c r="AH40" i="37" s="1"/>
  <c r="AC40" i="37"/>
  <c r="U40" i="37"/>
  <c r="V40" i="37" s="1"/>
  <c r="Q40" i="37"/>
  <c r="R40" i="37" s="1"/>
  <c r="S40" i="37" s="1"/>
  <c r="W40" i="37"/>
  <c r="AB40" i="37"/>
  <c r="AM40" i="37"/>
  <c r="AN40" i="37" s="1"/>
  <c r="AR40" i="37"/>
  <c r="AX40" i="37"/>
  <c r="AX41" i="37"/>
  <c r="AP41" i="37"/>
  <c r="AL41" i="37"/>
  <c r="AD41" i="37"/>
  <c r="AE41" i="37" s="1"/>
  <c r="Z41" i="37"/>
  <c r="V41" i="37"/>
  <c r="AY41" i="37"/>
  <c r="AZ41" i="37" s="1"/>
  <c r="AU41" i="37"/>
  <c r="AI41" i="37"/>
  <c r="AA41" i="37"/>
  <c r="AB41" i="37" s="1"/>
  <c r="W41" i="37"/>
  <c r="X41" i="37" s="1"/>
  <c r="Y41" i="37" s="1"/>
  <c r="Q41" i="37"/>
  <c r="R41" i="37" s="1"/>
  <c r="AF41" i="37"/>
  <c r="AV41" i="37"/>
  <c r="AW41" i="37" s="1"/>
  <c r="AX44" i="37"/>
  <c r="AP44" i="37"/>
  <c r="AL44" i="37"/>
  <c r="AD44" i="37"/>
  <c r="Z44" i="37"/>
  <c r="AU44" i="37"/>
  <c r="AO44" i="37"/>
  <c r="AJ44" i="37"/>
  <c r="T44" i="37"/>
  <c r="AF44" i="37"/>
  <c r="AA44" i="37"/>
  <c r="P44" i="37"/>
  <c r="W44" i="37"/>
  <c r="AG44" i="37"/>
  <c r="AR44" i="37"/>
  <c r="AD36" i="37"/>
  <c r="AE36" i="37" s="1"/>
  <c r="AI36" i="37"/>
  <c r="AT36" i="37"/>
  <c r="AY36" i="37"/>
  <c r="AZ36" i="37" s="1"/>
  <c r="AC37" i="37"/>
  <c r="AN37" i="37"/>
  <c r="AX37" i="37"/>
  <c r="AD38" i="37"/>
  <c r="AE38" i="37" s="1"/>
  <c r="AI38" i="37"/>
  <c r="AT38" i="37"/>
  <c r="AY38" i="37"/>
  <c r="AZ38" i="37" s="1"/>
  <c r="AC39" i="37"/>
  <c r="AG39" i="37" s="1"/>
  <c r="AH39" i="37" s="1"/>
  <c r="AS39" i="37"/>
  <c r="AT39" i="37" s="1"/>
  <c r="AX39" i="37"/>
  <c r="AD40" i="37"/>
  <c r="AE40" i="37" s="1"/>
  <c r="AI40" i="37"/>
  <c r="AY40" i="37"/>
  <c r="AZ40" i="37" s="1"/>
  <c r="AG41" i="37"/>
  <c r="AH41" i="37" s="1"/>
  <c r="AO41" i="37"/>
  <c r="AI44" i="37"/>
  <c r="Q42" i="37"/>
  <c r="R42" i="37" s="1"/>
  <c r="U42" i="37"/>
  <c r="AC42" i="37"/>
  <c r="AG42" i="37"/>
  <c r="P46" i="37"/>
  <c r="AF46" i="37"/>
  <c r="AM46" i="37"/>
  <c r="P48" i="37"/>
  <c r="W48" i="37"/>
  <c r="AR48" i="37"/>
  <c r="AW48" i="37" s="1"/>
  <c r="AJ50" i="37"/>
  <c r="AX52" i="37"/>
  <c r="AP52" i="37"/>
  <c r="AQ52" i="37" s="1"/>
  <c r="AL52" i="37"/>
  <c r="AD52" i="37"/>
  <c r="AE52" i="37" s="1"/>
  <c r="Z52" i="37"/>
  <c r="V52" i="37"/>
  <c r="AY52" i="37"/>
  <c r="AS52" i="37"/>
  <c r="AT52" i="37" s="1"/>
  <c r="AN52" i="37"/>
  <c r="AI52" i="37"/>
  <c r="AC52" i="37"/>
  <c r="AG52" i="37" s="1"/>
  <c r="AH52" i="37" s="1"/>
  <c r="S52" i="37"/>
  <c r="T52" i="37"/>
  <c r="X52" i="37" s="1"/>
  <c r="Y52" i="37" s="1"/>
  <c r="AA52" i="37"/>
  <c r="AB52" i="37" s="1"/>
  <c r="AO52" i="37"/>
  <c r="AV52" i="37"/>
  <c r="AW52" i="37" s="1"/>
  <c r="W54" i="37"/>
  <c r="AX46" i="37"/>
  <c r="AY46" i="37" s="1"/>
  <c r="AP46" i="37"/>
  <c r="AL46" i="37"/>
  <c r="AH46" i="37"/>
  <c r="AS46" i="37"/>
  <c r="AI46" i="37"/>
  <c r="AD46" i="37"/>
  <c r="Z46" i="37"/>
  <c r="Q46" i="37"/>
  <c r="R46" i="37" s="1"/>
  <c r="W46" i="37"/>
  <c r="AG46" i="37"/>
  <c r="AO46" i="37"/>
  <c r="Q48" i="37"/>
  <c r="R48" i="37" s="1"/>
  <c r="AF48" i="37"/>
  <c r="AM48" i="37"/>
  <c r="AK50" i="37"/>
  <c r="AX54" i="37"/>
  <c r="AP54" i="37"/>
  <c r="AL54" i="37"/>
  <c r="AD54" i="37"/>
  <c r="Z54" i="37"/>
  <c r="AS54" i="37"/>
  <c r="AO54" i="37"/>
  <c r="AG54" i="37"/>
  <c r="AC54" i="37"/>
  <c r="U54" i="37"/>
  <c r="Q54" i="37"/>
  <c r="R54" i="37" s="1"/>
  <c r="AY54" i="37"/>
  <c r="AI54" i="37"/>
  <c r="AA54" i="37"/>
  <c r="AV54" i="37"/>
  <c r="AF54" i="37"/>
  <c r="P54" i="37"/>
  <c r="AT54" i="37" s="1"/>
  <c r="AR54" i="37"/>
  <c r="X46" i="37"/>
  <c r="AC46" i="37"/>
  <c r="AJ46" i="37"/>
  <c r="AX48" i="37"/>
  <c r="AY48" i="37" s="1"/>
  <c r="AP48" i="37"/>
  <c r="AL48" i="37"/>
  <c r="AD48" i="37"/>
  <c r="Z48" i="37"/>
  <c r="AS48" i="37"/>
  <c r="AI48" i="37"/>
  <c r="AC48" i="37"/>
  <c r="X48" i="37"/>
  <c r="T48" i="37"/>
  <c r="AG48" i="37"/>
  <c r="AH48" i="37" s="1"/>
  <c r="AO48" i="37"/>
  <c r="AK52" i="37"/>
  <c r="AZ52" i="37"/>
  <c r="AU54" i="37"/>
  <c r="AX42" i="37"/>
  <c r="AL42" i="37"/>
  <c r="P42" i="37"/>
  <c r="AZ42" i="37" s="1"/>
  <c r="T42" i="37"/>
  <c r="X42" i="37" s="1"/>
  <c r="Y42" i="37" s="1"/>
  <c r="AF42" i="37"/>
  <c r="AJ42" i="37"/>
  <c r="AO42" i="37"/>
  <c r="AP42" i="37" s="1"/>
  <c r="AQ42" i="37" s="1"/>
  <c r="AU42" i="37"/>
  <c r="T46" i="37"/>
  <c r="Y46" i="37"/>
  <c r="AK46" i="37"/>
  <c r="AR46" i="37"/>
  <c r="AJ48" i="37"/>
  <c r="AX50" i="37"/>
  <c r="AP50" i="37"/>
  <c r="AQ50" i="37" s="1"/>
  <c r="AL50" i="37"/>
  <c r="AD50" i="37"/>
  <c r="AE50" i="37" s="1"/>
  <c r="Z50" i="37"/>
  <c r="AA50" i="37" s="1"/>
  <c r="AB50" i="37" s="1"/>
  <c r="AY50" i="37"/>
  <c r="AZ50" i="37" s="1"/>
  <c r="AS50" i="37"/>
  <c r="AT50" i="37" s="1"/>
  <c r="AN50" i="37"/>
  <c r="AI50" i="37"/>
  <c r="AC50" i="37"/>
  <c r="X50" i="37"/>
  <c r="Y50" i="37" s="1"/>
  <c r="S50" i="37"/>
  <c r="T50" i="37"/>
  <c r="U50" i="37" s="1"/>
  <c r="V50" i="37" s="1"/>
  <c r="AG50" i="37"/>
  <c r="AH50" i="37" s="1"/>
  <c r="AO50" i="37"/>
  <c r="AV50" i="37"/>
  <c r="AW50" i="37" s="1"/>
  <c r="T54" i="37"/>
  <c r="P43" i="37"/>
  <c r="AB43" i="37" s="1"/>
  <c r="T43" i="37"/>
  <c r="U43" i="37" s="1"/>
  <c r="AF43" i="37"/>
  <c r="AJ43" i="37"/>
  <c r="AN43" i="37"/>
  <c r="AR43" i="37"/>
  <c r="AS43" i="37" s="1"/>
  <c r="AV43" i="37"/>
  <c r="P45" i="37"/>
  <c r="AB45" i="37" s="1"/>
  <c r="T45" i="37"/>
  <c r="U45" i="37" s="1"/>
  <c r="AF45" i="37"/>
  <c r="AJ45" i="37"/>
  <c r="AN45" i="37"/>
  <c r="AR45" i="37"/>
  <c r="AS45" i="37" s="1"/>
  <c r="AV45" i="37"/>
  <c r="P47" i="37"/>
  <c r="AB47" i="37" s="1"/>
  <c r="T47" i="37"/>
  <c r="U47" i="37" s="1"/>
  <c r="AF47" i="37"/>
  <c r="AJ47" i="37"/>
  <c r="AN47" i="37"/>
  <c r="AR47" i="37"/>
  <c r="AV47" i="37"/>
  <c r="P49" i="37"/>
  <c r="AN49" i="37" s="1"/>
  <c r="T49" i="37"/>
  <c r="U49" i="37" s="1"/>
  <c r="X49" i="37"/>
  <c r="AF49" i="37"/>
  <c r="AJ49" i="37"/>
  <c r="AR49" i="37"/>
  <c r="P51" i="37"/>
  <c r="AN51" i="37" s="1"/>
  <c r="T51" i="37"/>
  <c r="U51" i="37" s="1"/>
  <c r="X51" i="37"/>
  <c r="AF51" i="37"/>
  <c r="AJ51" i="37"/>
  <c r="AR51" i="37"/>
  <c r="AV51" i="37"/>
  <c r="W53" i="37"/>
  <c r="AA53" i="37"/>
  <c r="AB53" i="37" s="1"/>
  <c r="AI53" i="37"/>
  <c r="AM53" i="37"/>
  <c r="AQ53" i="37"/>
  <c r="AU53" i="37"/>
  <c r="AY53" i="37"/>
  <c r="P53" i="37"/>
  <c r="AN53" i="37" s="1"/>
  <c r="T53" i="37"/>
  <c r="AF53" i="37"/>
  <c r="AG53" i="37" s="1"/>
  <c r="AR53" i="37"/>
  <c r="AV53" i="37"/>
  <c r="AE46" i="37" l="1"/>
  <c r="AB42" i="37"/>
  <c r="AT42" i="37"/>
  <c r="AB54" i="37"/>
  <c r="U44" i="37"/>
  <c r="AQ32" i="37"/>
  <c r="AK32" i="37"/>
  <c r="S32" i="37"/>
  <c r="AB9" i="37"/>
  <c r="AW35" i="37"/>
  <c r="AW33" i="37"/>
  <c r="AK38" i="37"/>
  <c r="AZ51" i="37"/>
  <c r="AV44" i="37"/>
  <c r="X37" i="37"/>
  <c r="Y37" i="37" s="1"/>
  <c r="X9" i="37"/>
  <c r="AB36" i="37"/>
  <c r="AA49" i="37"/>
  <c r="AG26" i="37"/>
  <c r="AB21" i="37"/>
  <c r="AB22" i="37"/>
  <c r="AD25" i="37"/>
  <c r="AH14" i="37"/>
  <c r="AN25" i="37"/>
  <c r="AG15" i="37"/>
  <c r="AH20" i="37"/>
  <c r="AS17" i="37"/>
  <c r="AT17" i="37" s="1"/>
  <c r="AZ17" i="37"/>
  <c r="AH18" i="37"/>
  <c r="AZ18" i="37"/>
  <c r="AZ14" i="37"/>
  <c r="S14" i="37"/>
  <c r="AT25" i="37"/>
  <c r="S16" i="37"/>
  <c r="AM19" i="37"/>
  <c r="AN19" i="37" s="1"/>
  <c r="AS12" i="37"/>
  <c r="AT12" i="37" s="1"/>
  <c r="AZ24" i="37"/>
  <c r="AZ27" i="37"/>
  <c r="AS20" i="37"/>
  <c r="AT20" i="37" s="1"/>
  <c r="AH27" i="37"/>
  <c r="S18" i="37"/>
  <c r="AN18" i="37"/>
  <c r="U8" i="37"/>
  <c r="V8" i="37" s="1"/>
  <c r="AW10" i="37"/>
  <c r="AN13" i="37"/>
  <c r="AQ18" i="37"/>
  <c r="AT18" i="37"/>
  <c r="AN8" i="37"/>
  <c r="AP11" i="37"/>
  <c r="AQ11" i="37" s="1"/>
  <c r="U20" i="37"/>
  <c r="V20" i="37" s="1"/>
  <c r="AQ24" i="37"/>
  <c r="AQ22" i="37"/>
  <c r="AK25" i="37"/>
  <c r="U15" i="37"/>
  <c r="V15" i="37" s="1"/>
  <c r="AB13" i="37"/>
  <c r="AJ9" i="37"/>
  <c r="AK9" i="37" s="1"/>
  <c r="X12" i="37"/>
  <c r="Y12" i="37" s="1"/>
  <c r="AE14" i="37"/>
  <c r="U11" i="37"/>
  <c r="V11" i="37" s="1"/>
  <c r="AE8" i="37"/>
  <c r="AJ27" i="37"/>
  <c r="S8" i="37"/>
  <c r="AA24" i="37"/>
  <c r="AB24" i="37" s="1"/>
  <c r="AH22" i="37"/>
  <c r="AS13" i="37"/>
  <c r="AT13" i="37" s="1"/>
  <c r="AN11" i="37"/>
  <c r="AZ8" i="37"/>
  <c r="AK8" i="37"/>
  <c r="AT14" i="37"/>
  <c r="AA14" i="37"/>
  <c r="AB14" i="37" s="1"/>
  <c r="AH8" i="37"/>
  <c r="AD28" i="37"/>
  <c r="AE28" i="37" s="1"/>
  <c r="AN20" i="37"/>
  <c r="AW8" i="37"/>
  <c r="AK12" i="37"/>
  <c r="AP16" i="37"/>
  <c r="AQ16" i="37" s="1"/>
  <c r="AB8" i="37"/>
  <c r="AZ25" i="37"/>
  <c r="S24" i="37"/>
  <c r="AZ53" i="37"/>
  <c r="S53" i="37"/>
  <c r="AZ46" i="37"/>
  <c r="U46" i="37"/>
  <c r="V46" i="37" s="1"/>
  <c r="AA48" i="37"/>
  <c r="AQ54" i="37"/>
  <c r="AN46" i="37"/>
  <c r="AZ48" i="37"/>
  <c r="AE53" i="37"/>
  <c r="AB51" i="37"/>
  <c r="AW46" i="37"/>
  <c r="AE54" i="37"/>
  <c r="AZ49" i="37"/>
  <c r="S48" i="37"/>
  <c r="AN48" i="37"/>
  <c r="AQ46" i="37"/>
  <c r="S46" i="37"/>
  <c r="AH54" i="37"/>
  <c r="Y48" i="37"/>
  <c r="AT46" i="37"/>
  <c r="S36" i="37"/>
  <c r="S41" i="37"/>
  <c r="AQ41" i="37"/>
  <c r="AP40" i="37"/>
  <c r="AQ40" i="37" s="1"/>
  <c r="AH36" i="37"/>
  <c r="AH31" i="37"/>
  <c r="U35" i="37"/>
  <c r="V35" i="37" s="1"/>
  <c r="AN34" i="37"/>
  <c r="U33" i="37"/>
  <c r="V33" i="37" s="1"/>
  <c r="K33" i="37" s="1"/>
  <c r="AS32" i="37"/>
  <c r="AT32" i="37" s="1"/>
  <c r="AZ31" i="37"/>
  <c r="AZ47" i="37"/>
  <c r="AD51" i="37"/>
  <c r="AB49" i="37"/>
  <c r="AZ54" i="37"/>
  <c r="U48" i="37"/>
  <c r="V48" i="37" s="1"/>
  <c r="AW54" i="37"/>
  <c r="AE20" i="37"/>
  <c r="AZ20" i="37"/>
  <c r="AB26" i="37"/>
  <c r="AW25" i="37"/>
  <c r="AB25" i="37"/>
  <c r="AE25" i="37"/>
  <c r="AN24" i="37"/>
  <c r="X21" i="37"/>
  <c r="Y21" i="37" s="1"/>
  <c r="X22" i="37"/>
  <c r="AW20" i="37"/>
  <c r="X27" i="37"/>
  <c r="Y27" i="37" s="1"/>
  <c r="X19" i="37"/>
  <c r="AB15" i="37"/>
  <c r="X11" i="37"/>
  <c r="Y11" i="37" s="1"/>
  <c r="AN9" i="37"/>
  <c r="AB18" i="37"/>
  <c r="AZ13" i="37"/>
  <c r="AT8" i="37"/>
  <c r="AK27" i="37"/>
  <c r="AK20" i="37"/>
  <c r="AE24" i="37"/>
  <c r="AN7" i="37"/>
  <c r="AH24" i="37"/>
  <c r="X17" i="37"/>
  <c r="Y17" i="37" s="1"/>
  <c r="AN16" i="37"/>
  <c r="Y14" i="37"/>
  <c r="AE12" i="37"/>
  <c r="AN44" i="37"/>
  <c r="S44" i="37"/>
  <c r="AQ44" i="37"/>
  <c r="AE44" i="37"/>
  <c r="AZ44" i="37"/>
  <c r="AH44" i="37"/>
  <c r="U39" i="37"/>
  <c r="V39" i="37" s="1"/>
  <c r="U37" i="37"/>
  <c r="V37" i="37" s="1"/>
  <c r="AH23" i="37"/>
  <c r="AW23" i="37"/>
  <c r="AQ23" i="37"/>
  <c r="V23" i="37"/>
  <c r="AK23" i="37"/>
  <c r="AE23" i="37"/>
  <c r="AT23" i="37"/>
  <c r="Y23" i="37"/>
  <c r="S23" i="37"/>
  <c r="AW21" i="37"/>
  <c r="AQ21" i="37"/>
  <c r="V21" i="37"/>
  <c r="AK21" i="37"/>
  <c r="AE21" i="37"/>
  <c r="AT21" i="37"/>
  <c r="S21" i="37"/>
  <c r="AH21" i="37"/>
  <c r="AE31" i="37"/>
  <c r="AW44" i="37"/>
  <c r="U24" i="37"/>
  <c r="V24" i="37" s="1"/>
  <c r="AB19" i="37"/>
  <c r="AB17" i="37"/>
  <c r="AB7" i="37"/>
  <c r="S22" i="37"/>
  <c r="AJ18" i="37"/>
  <c r="AK18" i="37" s="1"/>
  <c r="AZ7" i="37"/>
  <c r="U18" i="37"/>
  <c r="V18" i="37" s="1"/>
  <c r="S12" i="37"/>
  <c r="AN12" i="37"/>
  <c r="R10" i="37"/>
  <c r="S10" i="37" s="1"/>
  <c r="Y10" i="37"/>
  <c r="AH53" i="37"/>
  <c r="AW53" i="37"/>
  <c r="V53" i="37"/>
  <c r="AT53" i="37"/>
  <c r="X53" i="37"/>
  <c r="Y53" i="37" s="1"/>
  <c r="X47" i="37"/>
  <c r="Y47" i="37" s="1"/>
  <c r="AT45" i="37"/>
  <c r="S45" i="37"/>
  <c r="AH45" i="37"/>
  <c r="AK45" i="37"/>
  <c r="AE45" i="37"/>
  <c r="AQ45" i="37"/>
  <c r="V45" i="37"/>
  <c r="AW45" i="37"/>
  <c r="AT43" i="37"/>
  <c r="S43" i="37"/>
  <c r="AK43" i="37"/>
  <c r="AE43" i="37"/>
  <c r="AQ43" i="37"/>
  <c r="AW43" i="37"/>
  <c r="V43" i="37"/>
  <c r="AH43" i="37"/>
  <c r="K50" i="37"/>
  <c r="AQ48" i="37"/>
  <c r="AW42" i="37"/>
  <c r="V42" i="37"/>
  <c r="S42" i="37"/>
  <c r="AH42" i="37"/>
  <c r="AN42" i="37"/>
  <c r="AE42" i="37"/>
  <c r="AT48" i="37"/>
  <c r="AN54" i="37"/>
  <c r="AJ54" i="37"/>
  <c r="AK54" i="37" s="1"/>
  <c r="V54" i="37"/>
  <c r="X54" i="37"/>
  <c r="Y54" i="37" s="1"/>
  <c r="AK48" i="37"/>
  <c r="AK42" i="37"/>
  <c r="X43" i="37"/>
  <c r="Y43" i="37" s="1"/>
  <c r="V44" i="37"/>
  <c r="AZ43" i="37"/>
  <c r="X45" i="37"/>
  <c r="Y45" i="37" s="1"/>
  <c r="AA38" i="37"/>
  <c r="AB38" i="37" s="1"/>
  <c r="U36" i="37"/>
  <c r="V36" i="37" s="1"/>
  <c r="AB23" i="37"/>
  <c r="AP31" i="37"/>
  <c r="AQ31" i="37" s="1"/>
  <c r="S31" i="37"/>
  <c r="AN32" i="37"/>
  <c r="U32" i="37"/>
  <c r="AT22" i="37"/>
  <c r="AB20" i="37"/>
  <c r="X31" i="37"/>
  <c r="Y31" i="37" s="1"/>
  <c r="AK24" i="37"/>
  <c r="AK22" i="37"/>
  <c r="X34" i="37"/>
  <c r="Y34" i="37" s="1"/>
  <c r="X32" i="37"/>
  <c r="Y32" i="37" s="1"/>
  <c r="R30" i="37"/>
  <c r="S30" i="37" s="1"/>
  <c r="K30" i="37" s="1"/>
  <c r="X30" i="37"/>
  <c r="Y30" i="37" s="1"/>
  <c r="AZ22" i="37"/>
  <c r="AE22" i="37"/>
  <c r="AN17" i="37"/>
  <c r="AN15" i="37"/>
  <c r="AN22" i="37"/>
  <c r="AW12" i="37"/>
  <c r="AH12" i="37"/>
  <c r="AV14" i="37"/>
  <c r="AW14" i="37" s="1"/>
  <c r="U14" i="37"/>
  <c r="V14" i="37" s="1"/>
  <c r="AJ53" i="37"/>
  <c r="AK53" i="37" s="1"/>
  <c r="K52" i="37"/>
  <c r="AE48" i="37"/>
  <c r="AM41" i="37"/>
  <c r="AN41" i="37" s="1"/>
  <c r="X39" i="37"/>
  <c r="Y39" i="37" s="1"/>
  <c r="R39" i="37"/>
  <c r="S39" i="37" s="1"/>
  <c r="X38" i="37"/>
  <c r="Y38" i="37" s="1"/>
  <c r="R38" i="37"/>
  <c r="S38" i="37" s="1"/>
  <c r="U38" i="37"/>
  <c r="V38" i="37" s="1"/>
  <c r="AK28" i="37"/>
  <c r="AT28" i="37"/>
  <c r="Y28" i="37"/>
  <c r="S28" i="37"/>
  <c r="AH28" i="37"/>
  <c r="AW28" i="37"/>
  <c r="AQ28" i="37"/>
  <c r="V28" i="37"/>
  <c r="X20" i="37"/>
  <c r="Y20" i="37" s="1"/>
  <c r="AB31" i="37"/>
  <c r="Y22" i="37"/>
  <c r="AQ19" i="37"/>
  <c r="AE19" i="37"/>
  <c r="AT19" i="37"/>
  <c r="AH19" i="37"/>
  <c r="V19" i="37"/>
  <c r="AW19" i="37"/>
  <c r="AK19" i="37"/>
  <c r="Y19" i="37"/>
  <c r="S19" i="37"/>
  <c r="AQ17" i="37"/>
  <c r="AW17" i="37"/>
  <c r="AK17" i="37"/>
  <c r="AE17" i="37"/>
  <c r="S17" i="37"/>
  <c r="V17" i="37"/>
  <c r="AH17" i="37"/>
  <c r="AQ9" i="37"/>
  <c r="AE9" i="37"/>
  <c r="AT9" i="37"/>
  <c r="AH9" i="37"/>
  <c r="AW9" i="37"/>
  <c r="Y9" i="37"/>
  <c r="S9" i="37"/>
  <c r="V9" i="37"/>
  <c r="V7" i="37"/>
  <c r="AW7" i="37"/>
  <c r="AK7" i="37"/>
  <c r="AE7" i="37"/>
  <c r="AT7" i="37"/>
  <c r="Y7" i="37"/>
  <c r="S7" i="37"/>
  <c r="AH7" i="37"/>
  <c r="AQ7" i="37"/>
  <c r="AZ9" i="37"/>
  <c r="AZ19" i="37"/>
  <c r="AQ8" i="37"/>
  <c r="AH51" i="37"/>
  <c r="AK51" i="37"/>
  <c r="Y51" i="37"/>
  <c r="S51" i="37"/>
  <c r="AT51" i="37"/>
  <c r="V51" i="37"/>
  <c r="AW51" i="37"/>
  <c r="AQ51" i="37"/>
  <c r="AE51" i="37"/>
  <c r="AH49" i="37"/>
  <c r="AW49" i="37"/>
  <c r="AQ49" i="37"/>
  <c r="AE49" i="37"/>
  <c r="AK49" i="37"/>
  <c r="Y49" i="37"/>
  <c r="S49" i="37"/>
  <c r="AT49" i="37"/>
  <c r="V49" i="37"/>
  <c r="AH47" i="37"/>
  <c r="V47" i="37"/>
  <c r="AW47" i="37"/>
  <c r="AQ47" i="37"/>
  <c r="AE47" i="37"/>
  <c r="AK47" i="37"/>
  <c r="S47" i="37"/>
  <c r="AT47" i="37"/>
  <c r="AB48" i="37"/>
  <c r="S54" i="37"/>
  <c r="AA46" i="37"/>
  <c r="AB46" i="37" s="1"/>
  <c r="AZ45" i="37"/>
  <c r="X44" i="37"/>
  <c r="Y44" i="37" s="1"/>
  <c r="AK44" i="37"/>
  <c r="AT44" i="37"/>
  <c r="X40" i="37"/>
  <c r="Y40" i="37" s="1"/>
  <c r="AS37" i="37"/>
  <c r="AT37" i="37" s="1"/>
  <c r="K37" i="37" s="1"/>
  <c r="AB44" i="37"/>
  <c r="AB28" i="37"/>
  <c r="AK26" i="37"/>
  <c r="AE26" i="37"/>
  <c r="AT26" i="37"/>
  <c r="Y26" i="37"/>
  <c r="S26" i="37"/>
  <c r="AH26" i="37"/>
  <c r="AW26" i="37"/>
  <c r="AQ26" i="37"/>
  <c r="V26" i="37"/>
  <c r="AN21" i="37"/>
  <c r="V32" i="37"/>
  <c r="V31" i="37"/>
  <c r="S25" i="37"/>
  <c r="AE32" i="37"/>
  <c r="AZ32" i="37"/>
  <c r="AZ23" i="37"/>
  <c r="AZ21" i="37"/>
  <c r="AK31" i="37"/>
  <c r="U25" i="37"/>
  <c r="V25" i="37" s="1"/>
  <c r="S20" i="37"/>
  <c r="X35" i="37"/>
  <c r="Y35" i="37" s="1"/>
  <c r="K35" i="37" s="1"/>
  <c r="U34" i="37"/>
  <c r="V34" i="37" s="1"/>
  <c r="R34" i="37"/>
  <c r="S34" i="37" s="1"/>
  <c r="AW31" i="37"/>
  <c r="AZ28" i="37"/>
  <c r="AZ26" i="37"/>
  <c r="Y24" i="37"/>
  <c r="U22" i="37"/>
  <c r="V22" i="37" s="1"/>
  <c r="AE15" i="37"/>
  <c r="AW15" i="37"/>
  <c r="AQ15" i="37"/>
  <c r="S15" i="37"/>
  <c r="AK15" i="37"/>
  <c r="Y15" i="37"/>
  <c r="AT15" i="37"/>
  <c r="AH15" i="37"/>
  <c r="AQ13" i="37"/>
  <c r="AE13" i="37"/>
  <c r="S13" i="37"/>
  <c r="AW13" i="37"/>
  <c r="AH13" i="37"/>
  <c r="V13" i="37"/>
  <c r="AK13" i="37"/>
  <c r="S11" i="37"/>
  <c r="AE11" i="37"/>
  <c r="AK11" i="37"/>
  <c r="AW11" i="37"/>
  <c r="AT11" i="37"/>
  <c r="AH11" i="37"/>
  <c r="AQ20" i="37"/>
  <c r="X13" i="37"/>
  <c r="Y13" i="37" s="1"/>
  <c r="X8" i="37"/>
  <c r="Y8" i="37" s="1"/>
  <c r="AZ12" i="37"/>
  <c r="U12" i="37"/>
  <c r="V12" i="37" s="1"/>
  <c r="AQ12" i="37"/>
  <c r="AZ11" i="37"/>
  <c r="K54" i="37" l="1"/>
  <c r="K27" i="37"/>
  <c r="M27" i="37" s="1"/>
  <c r="K48" i="37"/>
  <c r="O48" i="37" s="1"/>
  <c r="K8" i="37"/>
  <c r="O8" i="37" s="1"/>
  <c r="K16" i="37"/>
  <c r="O16" i="37" s="1"/>
  <c r="O33" i="37"/>
  <c r="M33" i="37"/>
  <c r="K40" i="37"/>
  <c r="M40" i="37" s="1"/>
  <c r="K38" i="37"/>
  <c r="K41" i="37"/>
  <c r="O41" i="37" s="1"/>
  <c r="K36" i="37"/>
  <c r="O36" i="37" s="1"/>
  <c r="K34" i="37"/>
  <c r="M34" i="37" s="1"/>
  <c r="K32" i="37"/>
  <c r="K46" i="37"/>
  <c r="M46" i="37" s="1"/>
  <c r="K53" i="37"/>
  <c r="O53" i="37" s="1"/>
  <c r="K14" i="37"/>
  <c r="M14" i="37" s="1"/>
  <c r="K18" i="37"/>
  <c r="M18" i="37" s="1"/>
  <c r="K7" i="37"/>
  <c r="O7" i="37" s="1"/>
  <c r="K9" i="37"/>
  <c r="M9" i="37" s="1"/>
  <c r="K24" i="37"/>
  <c r="M24" i="37" s="1"/>
  <c r="M8" i="37"/>
  <c r="O37" i="37"/>
  <c r="M37" i="37"/>
  <c r="M41" i="37"/>
  <c r="O32" i="37"/>
  <c r="M32" i="37"/>
  <c r="O46" i="37"/>
  <c r="K25" i="37"/>
  <c r="K26" i="37"/>
  <c r="O27" i="37"/>
  <c r="K28" i="37"/>
  <c r="K39" i="37"/>
  <c r="K31" i="37"/>
  <c r="K43" i="37"/>
  <c r="K13" i="37"/>
  <c r="K15" i="37"/>
  <c r="K20" i="37"/>
  <c r="K49" i="37"/>
  <c r="K51" i="37"/>
  <c r="K17" i="37"/>
  <c r="M52" i="37"/>
  <c r="O52" i="37"/>
  <c r="M30" i="37"/>
  <c r="O30" i="37"/>
  <c r="K42" i="37"/>
  <c r="M50" i="37"/>
  <c r="O50" i="37"/>
  <c r="K45" i="37"/>
  <c r="K12" i="37"/>
  <c r="K11" i="37"/>
  <c r="O35" i="37"/>
  <c r="M35" i="37"/>
  <c r="M38" i="37"/>
  <c r="O38" i="37"/>
  <c r="K22" i="37"/>
  <c r="M54" i="37"/>
  <c r="O54" i="37"/>
  <c r="K47" i="37"/>
  <c r="K19" i="37"/>
  <c r="K10" i="37"/>
  <c r="K21" i="37"/>
  <c r="K23" i="37"/>
  <c r="K44" i="37"/>
  <c r="M48" i="37" l="1"/>
  <c r="M7" i="37"/>
  <c r="O18" i="37"/>
  <c r="M16" i="37"/>
  <c r="O9" i="37"/>
  <c r="O24" i="37"/>
  <c r="M36" i="37"/>
  <c r="O34" i="37"/>
  <c r="M53" i="37"/>
  <c r="O40" i="37"/>
  <c r="O14" i="37"/>
  <c r="M22" i="37"/>
  <c r="O22" i="37"/>
  <c r="O21" i="37"/>
  <c r="M21" i="37"/>
  <c r="O51" i="37"/>
  <c r="M51" i="37"/>
  <c r="O13" i="37"/>
  <c r="M13" i="37"/>
  <c r="O25" i="37"/>
  <c r="M25" i="37"/>
  <c r="M10" i="37"/>
  <c r="O10" i="37"/>
  <c r="M12" i="37"/>
  <c r="O12" i="37"/>
  <c r="M49" i="37"/>
  <c r="O49" i="37"/>
  <c r="M43" i="37"/>
  <c r="O43" i="37"/>
  <c r="M44" i="37"/>
  <c r="O44" i="37"/>
  <c r="M42" i="37"/>
  <c r="O42" i="37"/>
  <c r="O20" i="37"/>
  <c r="M20" i="37"/>
  <c r="M31" i="37"/>
  <c r="O31" i="37"/>
  <c r="O23" i="37"/>
  <c r="M23" i="37"/>
  <c r="O15" i="37"/>
  <c r="M15" i="37"/>
  <c r="O39" i="37"/>
  <c r="M39" i="37"/>
  <c r="O26" i="37"/>
  <c r="M26" i="37"/>
  <c r="M45" i="37"/>
  <c r="O45" i="37"/>
  <c r="O11" i="37"/>
  <c r="M11" i="37"/>
  <c r="O28" i="37"/>
  <c r="M28" i="37"/>
  <c r="O19" i="37"/>
  <c r="M19" i="37"/>
  <c r="O17" i="37"/>
  <c r="M17" i="37"/>
  <c r="O47" i="37"/>
  <c r="M47" i="37"/>
  <c r="Z54" i="35" l="1"/>
  <c r="H54" i="35"/>
  <c r="Q54" i="35" s="1"/>
  <c r="F54" i="35"/>
  <c r="H53" i="35"/>
  <c r="AP53" i="35" s="1"/>
  <c r="F53" i="35"/>
  <c r="H52" i="35"/>
  <c r="T52" i="35" s="1"/>
  <c r="F52" i="35"/>
  <c r="H51" i="35"/>
  <c r="AP51" i="35" s="1"/>
  <c r="F51" i="35"/>
  <c r="H50" i="35"/>
  <c r="Q50" i="35" s="1"/>
  <c r="F50" i="35"/>
  <c r="H49" i="35"/>
  <c r="AX49" i="35" s="1"/>
  <c r="F49" i="35"/>
  <c r="H48" i="35"/>
  <c r="AJ48" i="35" s="1"/>
  <c r="F48" i="35"/>
  <c r="H47" i="35"/>
  <c r="AF47" i="35" s="1"/>
  <c r="F47" i="35"/>
  <c r="H46" i="35"/>
  <c r="Q46" i="35" s="1"/>
  <c r="F46" i="35"/>
  <c r="H45" i="35"/>
  <c r="AA45" i="35" s="1"/>
  <c r="F45" i="35"/>
  <c r="H44" i="35"/>
  <c r="AR44" i="35" s="1"/>
  <c r="F44" i="35"/>
  <c r="H43" i="35"/>
  <c r="AV43" i="35" s="1"/>
  <c r="F43" i="35"/>
  <c r="H42" i="35"/>
  <c r="AR42" i="35" s="1"/>
  <c r="F42" i="35"/>
  <c r="H41" i="35"/>
  <c r="AU41" i="35" s="1"/>
  <c r="F41" i="35"/>
  <c r="AM40" i="35"/>
  <c r="H40" i="35"/>
  <c r="Q40" i="35" s="1"/>
  <c r="F40" i="35"/>
  <c r="H39" i="35"/>
  <c r="AL39" i="35" s="1"/>
  <c r="F39" i="35"/>
  <c r="H38" i="35"/>
  <c r="Q38" i="35" s="1"/>
  <c r="F38" i="35"/>
  <c r="H37" i="35"/>
  <c r="AL37" i="35" s="1"/>
  <c r="F37" i="35"/>
  <c r="H36" i="35"/>
  <c r="AX36" i="35" s="1"/>
  <c r="F36" i="35"/>
  <c r="H35" i="35"/>
  <c r="AL35" i="35" s="1"/>
  <c r="F35" i="35"/>
  <c r="H34" i="35"/>
  <c r="AP34" i="35" s="1"/>
  <c r="F34" i="35"/>
  <c r="H33" i="35"/>
  <c r="AX33" i="35" s="1"/>
  <c r="F33" i="35"/>
  <c r="H32" i="35"/>
  <c r="AX32" i="35" s="1"/>
  <c r="H31" i="35"/>
  <c r="AX31" i="35" s="1"/>
  <c r="F31" i="35"/>
  <c r="H30" i="35"/>
  <c r="AX30" i="35" s="1"/>
  <c r="F30" i="35"/>
  <c r="AO28" i="35"/>
  <c r="AJ28" i="35"/>
  <c r="T28" i="35"/>
  <c r="H28" i="35"/>
  <c r="AU28" i="35" s="1"/>
  <c r="F28" i="35"/>
  <c r="AM27" i="35"/>
  <c r="W27" i="35"/>
  <c r="H27" i="35"/>
  <c r="AX27" i="35" s="1"/>
  <c r="F27" i="35"/>
  <c r="AR26" i="35"/>
  <c r="AG26" i="35"/>
  <c r="Q26" i="35"/>
  <c r="R26" i="35" s="1"/>
  <c r="H26" i="35"/>
  <c r="AO26" i="35" s="1"/>
  <c r="F26" i="35"/>
  <c r="H25" i="35"/>
  <c r="AU25" i="35" s="1"/>
  <c r="F25" i="35"/>
  <c r="H24" i="35"/>
  <c r="AX24" i="35" s="1"/>
  <c r="F24" i="35"/>
  <c r="H23" i="35"/>
  <c r="AX23" i="35" s="1"/>
  <c r="F23" i="35"/>
  <c r="H22" i="35"/>
  <c r="AX22" i="35" s="1"/>
  <c r="F22" i="35"/>
  <c r="AY21" i="35"/>
  <c r="AU21" i="35"/>
  <c r="AO21" i="35"/>
  <c r="AL21" i="35"/>
  <c r="AG21" i="35"/>
  <c r="AC21" i="35"/>
  <c r="Z21" i="35"/>
  <c r="Q21" i="35"/>
  <c r="R21" i="35" s="1"/>
  <c r="H21" i="35"/>
  <c r="AX21" i="35" s="1"/>
  <c r="F21" i="35"/>
  <c r="AU20" i="35"/>
  <c r="AS20" i="35"/>
  <c r="AO20" i="35"/>
  <c r="AI20" i="35"/>
  <c r="AG20" i="35"/>
  <c r="AC20" i="35"/>
  <c r="W20" i="35"/>
  <c r="U20" i="35"/>
  <c r="Q20" i="35"/>
  <c r="R20" i="35" s="1"/>
  <c r="H20" i="35"/>
  <c r="AX20" i="35" s="1"/>
  <c r="F20" i="35"/>
  <c r="AS19" i="35"/>
  <c r="AL19" i="35"/>
  <c r="AC19" i="35"/>
  <c r="U19" i="35"/>
  <c r="H19" i="35"/>
  <c r="AO19" i="35" s="1"/>
  <c r="F19" i="35"/>
  <c r="AY18" i="35"/>
  <c r="AS18" i="35"/>
  <c r="AM18" i="35"/>
  <c r="AG18" i="35"/>
  <c r="AA18" i="35"/>
  <c r="Q18" i="35"/>
  <c r="R18" i="35" s="1"/>
  <c r="H18" i="35"/>
  <c r="AX18" i="35" s="1"/>
  <c r="F18" i="35"/>
  <c r="H17" i="35"/>
  <c r="AU17" i="35" s="1"/>
  <c r="F17" i="35"/>
  <c r="AY16" i="35"/>
  <c r="AS16" i="35"/>
  <c r="AI16" i="35"/>
  <c r="AC16" i="35"/>
  <c r="W16" i="35"/>
  <c r="Q16" i="35"/>
  <c r="R16" i="35" s="1"/>
  <c r="H16" i="35"/>
  <c r="AX16" i="35" s="1"/>
  <c r="F16" i="35"/>
  <c r="AO15" i="35"/>
  <c r="AD15" i="35"/>
  <c r="W15" i="35"/>
  <c r="H15" i="35"/>
  <c r="AU15" i="35" s="1"/>
  <c r="F15" i="35"/>
  <c r="H14" i="35"/>
  <c r="AX14" i="35" s="1"/>
  <c r="F14" i="35"/>
  <c r="AY13" i="35"/>
  <c r="AU13" i="35"/>
  <c r="AO13" i="35"/>
  <c r="AL13" i="35"/>
  <c r="AG13" i="35"/>
  <c r="AC13" i="35"/>
  <c r="Z13" i="35"/>
  <c r="Q13" i="35"/>
  <c r="R13" i="35" s="1"/>
  <c r="H13" i="35"/>
  <c r="AX13" i="35" s="1"/>
  <c r="F13" i="35"/>
  <c r="AO12" i="35"/>
  <c r="T12" i="35"/>
  <c r="H12" i="35"/>
  <c r="AV12" i="35" s="1"/>
  <c r="F12" i="35"/>
  <c r="AX11" i="35"/>
  <c r="AS11" i="35"/>
  <c r="AM11" i="35"/>
  <c r="AI11" i="35"/>
  <c r="AD11" i="35"/>
  <c r="AA11" i="35"/>
  <c r="W11" i="35"/>
  <c r="Q11" i="35"/>
  <c r="R11" i="35" s="1"/>
  <c r="H11" i="35"/>
  <c r="AU11" i="35" s="1"/>
  <c r="F11" i="35"/>
  <c r="AO10" i="35"/>
  <c r="T10" i="35"/>
  <c r="H10" i="35"/>
  <c r="AV10" i="35" s="1"/>
  <c r="F10" i="35"/>
  <c r="AX9" i="35"/>
  <c r="AS9" i="35"/>
  <c r="AO9" i="35"/>
  <c r="AL9" i="35"/>
  <c r="AG9" i="35"/>
  <c r="AC9" i="35"/>
  <c r="Z9" i="35"/>
  <c r="W9" i="35"/>
  <c r="Q9" i="35"/>
  <c r="X9" i="35" s="1"/>
  <c r="H9" i="35"/>
  <c r="AU9" i="35" s="1"/>
  <c r="F9" i="35"/>
  <c r="H8" i="35"/>
  <c r="AV8" i="35" s="1"/>
  <c r="F8" i="35"/>
  <c r="AO7" i="35"/>
  <c r="W7" i="35"/>
  <c r="H7" i="35"/>
  <c r="AU7" i="35" s="1"/>
  <c r="F7" i="35"/>
  <c r="AR6" i="35"/>
  <c r="AG6" i="35"/>
  <c r="Q6" i="35"/>
  <c r="R6" i="35" s="1"/>
  <c r="H6" i="35"/>
  <c r="AU6" i="35" s="1"/>
  <c r="F6" i="35"/>
  <c r="AM19" i="35" l="1"/>
  <c r="AI17" i="35"/>
  <c r="AD7" i="35"/>
  <c r="AX7" i="35"/>
  <c r="W14" i="35"/>
  <c r="AU14" i="35"/>
  <c r="W17" i="35"/>
  <c r="AD17" i="35"/>
  <c r="AM17" i="35"/>
  <c r="AX17" i="35"/>
  <c r="AX19" i="35"/>
  <c r="AM6" i="35"/>
  <c r="Q7" i="35"/>
  <c r="R7" i="35" s="1"/>
  <c r="AI7" i="35"/>
  <c r="AA9" i="35"/>
  <c r="AI9" i="35"/>
  <c r="AP9" i="35"/>
  <c r="AY9" i="35"/>
  <c r="AJ10" i="35"/>
  <c r="Z11" i="35"/>
  <c r="AG11" i="35"/>
  <c r="AO11" i="35"/>
  <c r="AY11" i="35"/>
  <c r="AJ12" i="35"/>
  <c r="AA13" i="35"/>
  <c r="AI13" i="35"/>
  <c r="AP13" i="35"/>
  <c r="AA14" i="35"/>
  <c r="AM14" i="35"/>
  <c r="AY14" i="35"/>
  <c r="AA16" i="35"/>
  <c r="AO16" i="35"/>
  <c r="Z17" i="35"/>
  <c r="AG17" i="35"/>
  <c r="AO17" i="35"/>
  <c r="AY17" i="35"/>
  <c r="W18" i="35"/>
  <c r="AI18" i="35"/>
  <c r="AU18" i="35"/>
  <c r="Q19" i="35"/>
  <c r="R19" i="35" s="1"/>
  <c r="AA19" i="35"/>
  <c r="AI19" i="35"/>
  <c r="AP19" i="35"/>
  <c r="AY19" i="35"/>
  <c r="AA21" i="35"/>
  <c r="AI21" i="35"/>
  <c r="AP21" i="35"/>
  <c r="AY22" i="35"/>
  <c r="AM26" i="35"/>
  <c r="Q27" i="35"/>
  <c r="R27" i="35" s="1"/>
  <c r="AI27" i="35"/>
  <c r="AY27" i="35"/>
  <c r="W40" i="35"/>
  <c r="Z47" i="35"/>
  <c r="AO14" i="35"/>
  <c r="AP17" i="35"/>
  <c r="AC14" i="35"/>
  <c r="AA17" i="35"/>
  <c r="AA6" i="35"/>
  <c r="AA7" i="35"/>
  <c r="AS7" i="35"/>
  <c r="AJ8" i="35"/>
  <c r="AD9" i="35"/>
  <c r="AM9" i="35"/>
  <c r="AU10" i="35"/>
  <c r="U11" i="35"/>
  <c r="AC11" i="35"/>
  <c r="AL11" i="35"/>
  <c r="AU12" i="35"/>
  <c r="W13" i="35"/>
  <c r="AD13" i="35"/>
  <c r="AM13" i="35"/>
  <c r="Q14" i="35"/>
  <c r="R14" i="35" s="1"/>
  <c r="AG14" i="35"/>
  <c r="AS14" i="35"/>
  <c r="AX15" i="35"/>
  <c r="U16" i="35"/>
  <c r="AG16" i="35"/>
  <c r="AU16" i="35"/>
  <c r="Q17" i="35"/>
  <c r="R17" i="35" s="1"/>
  <c r="AC17" i="35"/>
  <c r="AL17" i="35"/>
  <c r="AC18" i="35"/>
  <c r="AO18" i="35"/>
  <c r="W19" i="35"/>
  <c r="AD19" i="35"/>
  <c r="AU19" i="35"/>
  <c r="AA20" i="35"/>
  <c r="AM20" i="35"/>
  <c r="AY20" i="35"/>
  <c r="W21" i="35"/>
  <c r="AD21" i="35"/>
  <c r="AM21" i="35"/>
  <c r="W22" i="35"/>
  <c r="AA26" i="35"/>
  <c r="AA27" i="35"/>
  <c r="AP27" i="35"/>
  <c r="AI14" i="35"/>
  <c r="Z19" i="35"/>
  <c r="AG19" i="35"/>
  <c r="AI22" i="35"/>
  <c r="AD27" i="35"/>
  <c r="AU27" i="35"/>
  <c r="AC40" i="35"/>
  <c r="AA42" i="35"/>
  <c r="Z49" i="35"/>
  <c r="U41" i="35"/>
  <c r="P44" i="35"/>
  <c r="T48" i="35"/>
  <c r="AG44" i="35"/>
  <c r="AD48" i="35"/>
  <c r="AV44" i="35"/>
  <c r="AP48" i="35"/>
  <c r="Z51" i="35"/>
  <c r="Q25" i="35"/>
  <c r="R25" i="35" s="1"/>
  <c r="Q24" i="35"/>
  <c r="R24" i="35" s="1"/>
  <c r="AM24" i="35"/>
  <c r="W24" i="35"/>
  <c r="Z33" i="35"/>
  <c r="AV33" i="35"/>
  <c r="AX34" i="35"/>
  <c r="AV51" i="35"/>
  <c r="AD52" i="35"/>
  <c r="Q45" i="35"/>
  <c r="AD33" i="35"/>
  <c r="AE33" i="35" s="1"/>
  <c r="AD38" i="35"/>
  <c r="AX40" i="35"/>
  <c r="AV41" i="35"/>
  <c r="AV42" i="35"/>
  <c r="AV47" i="35"/>
  <c r="Z48" i="35"/>
  <c r="AX48" i="35"/>
  <c r="P51" i="35"/>
  <c r="AL52" i="35"/>
  <c r="AV53" i="35"/>
  <c r="Q47" i="35"/>
  <c r="AL33" i="35"/>
  <c r="AX52" i="35"/>
  <c r="Q33" i="35"/>
  <c r="Q51" i="35"/>
  <c r="AC31" i="35"/>
  <c r="P33" i="35"/>
  <c r="AP33" i="35"/>
  <c r="Z34" i="35"/>
  <c r="AL48" i="35"/>
  <c r="AL51" i="35"/>
  <c r="Q39" i="35"/>
  <c r="AC30" i="35"/>
  <c r="Z30" i="35"/>
  <c r="AI30" i="35"/>
  <c r="AP30" i="35"/>
  <c r="AY30" i="35"/>
  <c r="W31" i="35"/>
  <c r="AI31" i="35"/>
  <c r="AU31" i="35"/>
  <c r="AD32" i="35"/>
  <c r="AL36" i="35"/>
  <c r="Z37" i="35"/>
  <c r="AP37" i="35"/>
  <c r="AP38" i="35"/>
  <c r="AI41" i="35"/>
  <c r="AI42" i="35"/>
  <c r="AC46" i="35"/>
  <c r="AP49" i="35"/>
  <c r="Z50" i="35"/>
  <c r="AP54" i="35"/>
  <c r="Q31" i="35"/>
  <c r="R31" i="35" s="1"/>
  <c r="Q35" i="35"/>
  <c r="R35" i="35" s="1"/>
  <c r="Q43" i="35"/>
  <c r="R43" i="35" s="1"/>
  <c r="AA30" i="35"/>
  <c r="AL30" i="35"/>
  <c r="AS30" i="35"/>
  <c r="AA31" i="35"/>
  <c r="AM31" i="35"/>
  <c r="AY31" i="35"/>
  <c r="AL32" i="35"/>
  <c r="AF33" i="35"/>
  <c r="AL34" i="35"/>
  <c r="AD37" i="35"/>
  <c r="AV37" i="35"/>
  <c r="Z38" i="35"/>
  <c r="AX38" i="35"/>
  <c r="AS40" i="35"/>
  <c r="P41" i="35"/>
  <c r="AS41" i="35"/>
  <c r="Z42" i="35"/>
  <c r="AS42" i="35"/>
  <c r="AC44" i="35"/>
  <c r="AX44" i="35"/>
  <c r="AM46" i="35"/>
  <c r="P49" i="35"/>
  <c r="AD50" i="35"/>
  <c r="AF51" i="35"/>
  <c r="AX51" i="35"/>
  <c r="Z52" i="35"/>
  <c r="AP52" i="35"/>
  <c r="AD53" i="35"/>
  <c r="T54" i="35"/>
  <c r="Q32" i="35"/>
  <c r="Q36" i="35"/>
  <c r="R36" i="35" s="1"/>
  <c r="Q44" i="35"/>
  <c r="R44" i="35" s="1"/>
  <c r="Q48" i="35"/>
  <c r="R48" i="35" s="1"/>
  <c r="Q52" i="35"/>
  <c r="R52" i="35" s="1"/>
  <c r="AM30" i="35"/>
  <c r="AU30" i="35"/>
  <c r="AO31" i="35"/>
  <c r="AP32" i="35"/>
  <c r="AF37" i="35"/>
  <c r="AX37" i="35"/>
  <c r="AJ50" i="35"/>
  <c r="Q30" i="35"/>
  <c r="X30" i="35" s="1"/>
  <c r="Q37" i="35"/>
  <c r="R37" i="35" s="1"/>
  <c r="Q41" i="35"/>
  <c r="Q49" i="35"/>
  <c r="R49" i="35" s="1"/>
  <c r="Q53" i="35"/>
  <c r="W30" i="35"/>
  <c r="AD30" i="35"/>
  <c r="AO30" i="35"/>
  <c r="U31" i="35"/>
  <c r="AG31" i="35"/>
  <c r="AS31" i="35"/>
  <c r="Z32" i="35"/>
  <c r="Z36" i="35"/>
  <c r="P37" i="35"/>
  <c r="AL38" i="35"/>
  <c r="AC41" i="35"/>
  <c r="AG42" i="35"/>
  <c r="P46" i="35"/>
  <c r="AF49" i="35"/>
  <c r="T50" i="35"/>
  <c r="AP50" i="35"/>
  <c r="X51" i="35"/>
  <c r="AJ52" i="35"/>
  <c r="AD54" i="35"/>
  <c r="Q34" i="35"/>
  <c r="Q42" i="35"/>
  <c r="R42" i="35" s="1"/>
  <c r="X49" i="35"/>
  <c r="Y49" i="35" s="1"/>
  <c r="AL49" i="35"/>
  <c r="AD49" i="35"/>
  <c r="AF53" i="35"/>
  <c r="P53" i="35"/>
  <c r="AQ53" i="35" s="1"/>
  <c r="AL53" i="35"/>
  <c r="AX53" i="35"/>
  <c r="Z53" i="35"/>
  <c r="U42" i="35"/>
  <c r="AC42" i="35"/>
  <c r="AL42" i="35"/>
  <c r="AX42" i="35"/>
  <c r="W42" i="35"/>
  <c r="AD42" i="35"/>
  <c r="T41" i="35"/>
  <c r="AF41" i="35"/>
  <c r="AO41" i="35"/>
  <c r="AY41" i="35"/>
  <c r="AA41" i="35"/>
  <c r="AJ41" i="35"/>
  <c r="Z39" i="35"/>
  <c r="AP39" i="35"/>
  <c r="AD39" i="35"/>
  <c r="AV39" i="35"/>
  <c r="AF39" i="35"/>
  <c r="AX39" i="35"/>
  <c r="P39" i="35"/>
  <c r="AE39" i="35" s="1"/>
  <c r="AD36" i="35"/>
  <c r="Z35" i="35"/>
  <c r="AV35" i="35"/>
  <c r="AD35" i="35"/>
  <c r="AX35" i="35"/>
  <c r="AF35" i="35"/>
  <c r="P35" i="35"/>
  <c r="AD34" i="35"/>
  <c r="U27" i="35"/>
  <c r="AC27" i="35"/>
  <c r="AL27" i="35"/>
  <c r="AS27" i="35"/>
  <c r="Z27" i="35"/>
  <c r="AG27" i="35"/>
  <c r="AO27" i="35"/>
  <c r="W26" i="35"/>
  <c r="AI26" i="35"/>
  <c r="AU26" i="35"/>
  <c r="AC26" i="35"/>
  <c r="W25" i="35"/>
  <c r="AG25" i="35"/>
  <c r="AO25" i="35"/>
  <c r="AX25" i="35"/>
  <c r="Z25" i="35"/>
  <c r="AI25" i="35"/>
  <c r="AP25" i="35"/>
  <c r="AY25" i="35"/>
  <c r="AA25" i="35"/>
  <c r="AL25" i="35"/>
  <c r="AS25" i="35"/>
  <c r="AC25" i="35"/>
  <c r="AM25" i="35"/>
  <c r="AY24" i="35"/>
  <c r="AC24" i="35"/>
  <c r="AO24" i="35"/>
  <c r="AG24" i="35"/>
  <c r="AS24" i="35"/>
  <c r="AI24" i="35"/>
  <c r="AU24" i="35"/>
  <c r="AI23" i="35"/>
  <c r="AP23" i="35"/>
  <c r="AY23" i="35"/>
  <c r="Q23" i="35"/>
  <c r="R23" i="35" s="1"/>
  <c r="AC23" i="35"/>
  <c r="AL23" i="35"/>
  <c r="AS23" i="35"/>
  <c r="W23" i="35"/>
  <c r="AD23" i="35"/>
  <c r="AM23" i="35"/>
  <c r="AU23" i="35"/>
  <c r="Z23" i="35"/>
  <c r="AA23" i="35" s="1"/>
  <c r="AG23" i="35"/>
  <c r="AO23" i="35"/>
  <c r="AC22" i="35"/>
  <c r="AO22" i="35"/>
  <c r="Q22" i="35"/>
  <c r="R22" i="35" s="1"/>
  <c r="AG22" i="35"/>
  <c r="AU22" i="35"/>
  <c r="AA22" i="35"/>
  <c r="AM22" i="35"/>
  <c r="Z15" i="35"/>
  <c r="AI15" i="35"/>
  <c r="AP15" i="35"/>
  <c r="AY15" i="35"/>
  <c r="AA15" i="35"/>
  <c r="AL15" i="35"/>
  <c r="AS15" i="35"/>
  <c r="Q15" i="35"/>
  <c r="R15" i="35" s="1"/>
  <c r="AC15" i="35"/>
  <c r="AM15" i="35"/>
  <c r="AO8" i="35"/>
  <c r="AU8" i="35"/>
  <c r="T8" i="35"/>
  <c r="Z7" i="35"/>
  <c r="AG7" i="35"/>
  <c r="AP7" i="35"/>
  <c r="U7" i="35"/>
  <c r="AC7" i="35"/>
  <c r="AL7" i="35"/>
  <c r="AM7" i="35" s="1"/>
  <c r="AC6" i="35"/>
  <c r="AO6" i="35"/>
  <c r="W6" i="35"/>
  <c r="AJ6" i="35"/>
  <c r="U12" i="35"/>
  <c r="R30" i="35"/>
  <c r="AX6" i="35"/>
  <c r="AP6" i="35"/>
  <c r="AL6" i="35"/>
  <c r="P6" i="35"/>
  <c r="AK6" i="35" s="1"/>
  <c r="T6" i="35"/>
  <c r="U6" i="35" s="1"/>
  <c r="X6" i="35"/>
  <c r="AF6" i="35"/>
  <c r="AQ6" i="35"/>
  <c r="AV6" i="35"/>
  <c r="P8" i="35"/>
  <c r="AA8" i="35"/>
  <c r="AF8" i="35"/>
  <c r="P10" i="35"/>
  <c r="U10" i="35"/>
  <c r="V10" i="35" s="1"/>
  <c r="AA10" i="35"/>
  <c r="AB10" i="35" s="1"/>
  <c r="AF10" i="35"/>
  <c r="AK10" i="35"/>
  <c r="AQ10" i="35"/>
  <c r="P12" i="35"/>
  <c r="AA12" i="35"/>
  <c r="AB12" i="35" s="1"/>
  <c r="AF12" i="35"/>
  <c r="AK12" i="35"/>
  <c r="AX28" i="35"/>
  <c r="AY28" i="35" s="1"/>
  <c r="AP28" i="35"/>
  <c r="AL28" i="35"/>
  <c r="Z28" i="35"/>
  <c r="AV28" i="35"/>
  <c r="AF28" i="35"/>
  <c r="AA28" i="35"/>
  <c r="U28" i="35"/>
  <c r="P28" i="35"/>
  <c r="AS28" i="35"/>
  <c r="AI28" i="35"/>
  <c r="AC28" i="35"/>
  <c r="AD28" i="35" s="1"/>
  <c r="X28" i="35"/>
  <c r="W28" i="35"/>
  <c r="AG28" i="35"/>
  <c r="AR28" i="35"/>
  <c r="AO43" i="35"/>
  <c r="AG43" i="35"/>
  <c r="AC43" i="35"/>
  <c r="AU43" i="35"/>
  <c r="AP43" i="35"/>
  <c r="AJ43" i="35"/>
  <c r="Z43" i="35"/>
  <c r="T43" i="35"/>
  <c r="AM43" i="35"/>
  <c r="AF43" i="35"/>
  <c r="AX43" i="35"/>
  <c r="AI43" i="35"/>
  <c r="AR43" i="35"/>
  <c r="AS43" i="35" s="1"/>
  <c r="AD43" i="35"/>
  <c r="P43" i="35"/>
  <c r="AY43" i="35"/>
  <c r="AL43" i="35"/>
  <c r="W43" i="35"/>
  <c r="AX8" i="35"/>
  <c r="AL8" i="35"/>
  <c r="AP8" i="35" s="1"/>
  <c r="AD8" i="35"/>
  <c r="Z8" i="35"/>
  <c r="R8" i="35"/>
  <c r="Q8" i="35"/>
  <c r="U8" i="35" s="1"/>
  <c r="W8" i="35"/>
  <c r="X8" i="35" s="1"/>
  <c r="AG8" i="35"/>
  <c r="AM8" i="35"/>
  <c r="AR8" i="35"/>
  <c r="AX10" i="35"/>
  <c r="AP10" i="35"/>
  <c r="AL10" i="35"/>
  <c r="AD10" i="35"/>
  <c r="Z10" i="35"/>
  <c r="Q10" i="35"/>
  <c r="W10" i="35"/>
  <c r="AG10" i="35"/>
  <c r="AH10" i="35" s="1"/>
  <c r="AR10" i="35"/>
  <c r="AW10" i="35"/>
  <c r="AX12" i="35"/>
  <c r="AL12" i="35"/>
  <c r="AP12" i="35" s="1"/>
  <c r="AQ12" i="35" s="1"/>
  <c r="AD12" i="35"/>
  <c r="Z12" i="35"/>
  <c r="V12" i="35"/>
  <c r="Q12" i="35"/>
  <c r="R12" i="35" s="1"/>
  <c r="W12" i="35"/>
  <c r="X12" i="35" s="1"/>
  <c r="AG12" i="35"/>
  <c r="AM12" i="35"/>
  <c r="AN12" i="35" s="1"/>
  <c r="AR12" i="35"/>
  <c r="AW12" i="35"/>
  <c r="X20" i="35"/>
  <c r="AO45" i="35"/>
  <c r="AG45" i="35"/>
  <c r="AC45" i="35"/>
  <c r="R45" i="35"/>
  <c r="AU45" i="35"/>
  <c r="AP45" i="35"/>
  <c r="AJ45" i="35"/>
  <c r="Z45" i="35"/>
  <c r="T45" i="35"/>
  <c r="AM45" i="35"/>
  <c r="AF45" i="35"/>
  <c r="AX45" i="35"/>
  <c r="AI45" i="35"/>
  <c r="AY45" i="35"/>
  <c r="AL45" i="35"/>
  <c r="W45" i="35"/>
  <c r="AR45" i="35"/>
  <c r="AD45" i="35"/>
  <c r="P45" i="35"/>
  <c r="Z6" i="35"/>
  <c r="AD6" i="35" s="1"/>
  <c r="AI6" i="35"/>
  <c r="AS6" i="35"/>
  <c r="AY6" i="35"/>
  <c r="AC8" i="35"/>
  <c r="AI8" i="35"/>
  <c r="AN8" i="35"/>
  <c r="AS8" i="35"/>
  <c r="AT8" i="35" s="1"/>
  <c r="AY8" i="35"/>
  <c r="R9" i="35"/>
  <c r="AC10" i="35"/>
  <c r="AI10" i="35"/>
  <c r="AS10" i="35"/>
  <c r="AT10" i="35" s="1"/>
  <c r="AY10" i="35"/>
  <c r="S12" i="35"/>
  <c r="AC12" i="35"/>
  <c r="AI12" i="35"/>
  <c r="AS12" i="35"/>
  <c r="AT12" i="35" s="1"/>
  <c r="AY12" i="35"/>
  <c r="X14" i="35"/>
  <c r="Q28" i="35"/>
  <c r="R28" i="35" s="1"/>
  <c r="AM28" i="35"/>
  <c r="AA43" i="35"/>
  <c r="AV45" i="35"/>
  <c r="P14" i="35"/>
  <c r="T14" i="35"/>
  <c r="U14" i="35" s="1"/>
  <c r="AF14" i="35"/>
  <c r="AJ14" i="35"/>
  <c r="AR14" i="35"/>
  <c r="AV14" i="35" s="1"/>
  <c r="P16" i="35"/>
  <c r="T16" i="35"/>
  <c r="X16" i="35" s="1"/>
  <c r="AF16" i="35"/>
  <c r="AJ16" i="35"/>
  <c r="AR16" i="35"/>
  <c r="AV16" i="35"/>
  <c r="AZ16" i="35"/>
  <c r="P18" i="35"/>
  <c r="T18" i="35"/>
  <c r="U18" i="35" s="1"/>
  <c r="X18" i="35"/>
  <c r="AB18" i="35"/>
  <c r="AF18" i="35"/>
  <c r="AJ18" i="35" s="1"/>
  <c r="AN18" i="35"/>
  <c r="AR18" i="35"/>
  <c r="AV18" i="35"/>
  <c r="AZ18" i="35"/>
  <c r="P20" i="35"/>
  <c r="AN20" i="35" s="1"/>
  <c r="T20" i="35"/>
  <c r="AB20" i="35"/>
  <c r="AF20" i="35"/>
  <c r="AJ20" i="35"/>
  <c r="AR20" i="35"/>
  <c r="AV20" i="35"/>
  <c r="P22" i="35"/>
  <c r="T22" i="35"/>
  <c r="U22" i="35" s="1"/>
  <c r="AF22" i="35"/>
  <c r="AJ22" i="35"/>
  <c r="AR22" i="35"/>
  <c r="AV22" i="35"/>
  <c r="AZ22" i="35"/>
  <c r="P24" i="35"/>
  <c r="T24" i="35"/>
  <c r="X24" i="35"/>
  <c r="AF24" i="35"/>
  <c r="AJ24" i="35"/>
  <c r="AR24" i="35"/>
  <c r="AV24" i="35"/>
  <c r="AX26" i="35"/>
  <c r="AP26" i="35"/>
  <c r="P26" i="35"/>
  <c r="AH26" i="35" s="1"/>
  <c r="T26" i="35"/>
  <c r="U26" i="35" s="1"/>
  <c r="X26" i="35"/>
  <c r="AF26" i="35"/>
  <c r="AJ26" i="35"/>
  <c r="AS26" i="35"/>
  <c r="AY26" i="35"/>
  <c r="AO32" i="35"/>
  <c r="AG32" i="35"/>
  <c r="AC32" i="35"/>
  <c r="R32" i="35"/>
  <c r="AY32" i="35"/>
  <c r="AU32" i="35"/>
  <c r="AM32" i="35"/>
  <c r="AI32" i="35"/>
  <c r="AA32" i="35"/>
  <c r="W32" i="35"/>
  <c r="T32" i="35"/>
  <c r="AJ32" i="35"/>
  <c r="AR32" i="35"/>
  <c r="AS34" i="35"/>
  <c r="AO34" i="35"/>
  <c r="AG34" i="35"/>
  <c r="AC34" i="35"/>
  <c r="AY34" i="35"/>
  <c r="AU34" i="35"/>
  <c r="AI34" i="35"/>
  <c r="AA34" i="35"/>
  <c r="W34" i="35"/>
  <c r="T34" i="35"/>
  <c r="AJ34" i="35"/>
  <c r="AR34" i="35"/>
  <c r="AS36" i="35"/>
  <c r="AO36" i="35"/>
  <c r="AG36" i="35"/>
  <c r="AC36" i="35"/>
  <c r="AY36" i="35"/>
  <c r="AU36" i="35"/>
  <c r="AM36" i="35"/>
  <c r="AI36" i="35"/>
  <c r="AA36" i="35"/>
  <c r="W36" i="35"/>
  <c r="T36" i="35"/>
  <c r="AJ36" i="35"/>
  <c r="AR36" i="35"/>
  <c r="AS38" i="35"/>
  <c r="AO38" i="35"/>
  <c r="AG38" i="35"/>
  <c r="AC38" i="35"/>
  <c r="AY38" i="35"/>
  <c r="AU38" i="35"/>
  <c r="AM38" i="35"/>
  <c r="AI38" i="35"/>
  <c r="W38" i="35"/>
  <c r="T38" i="35"/>
  <c r="AJ38" i="35"/>
  <c r="AR38" i="35"/>
  <c r="AV40" i="35"/>
  <c r="AR40" i="35"/>
  <c r="AJ40" i="35"/>
  <c r="AF40" i="35"/>
  <c r="T40" i="35"/>
  <c r="X40" i="35" s="1"/>
  <c r="AL40" i="35"/>
  <c r="AG40" i="35"/>
  <c r="AA40" i="35"/>
  <c r="R40" i="35"/>
  <c r="AY40" i="35"/>
  <c r="AO40" i="35"/>
  <c r="AI40" i="35"/>
  <c r="AD40" i="35"/>
  <c r="U40" i="35"/>
  <c r="AS46" i="35"/>
  <c r="AT46" i="35" s="1"/>
  <c r="AO46" i="35"/>
  <c r="AG46" i="35"/>
  <c r="AU46" i="35"/>
  <c r="AP46" i="35"/>
  <c r="AQ46" i="35" s="1"/>
  <c r="AJ46" i="35"/>
  <c r="W46" i="35"/>
  <c r="AR46" i="35"/>
  <c r="AL46" i="35"/>
  <c r="AD46" i="35"/>
  <c r="T46" i="35"/>
  <c r="U46" i="35" s="1"/>
  <c r="AX46" i="35"/>
  <c r="AF46" i="35"/>
  <c r="X46" i="35"/>
  <c r="R46" i="35"/>
  <c r="AI46" i="35"/>
  <c r="Z46" i="35"/>
  <c r="P7" i="35"/>
  <c r="AN7" i="35" s="1"/>
  <c r="T7" i="35"/>
  <c r="X7" i="35" s="1"/>
  <c r="AB7" i="35"/>
  <c r="AF7" i="35"/>
  <c r="AJ7" i="35"/>
  <c r="AR7" i="35"/>
  <c r="AV7" i="35"/>
  <c r="AY7" i="35" s="1"/>
  <c r="P9" i="35"/>
  <c r="AZ9" i="35" s="1"/>
  <c r="T9" i="35"/>
  <c r="U9" i="35" s="1"/>
  <c r="AB9" i="35"/>
  <c r="AF9" i="35"/>
  <c r="AJ9" i="35" s="1"/>
  <c r="AN9" i="35"/>
  <c r="AR9" i="35"/>
  <c r="AV9" i="35"/>
  <c r="P11" i="35"/>
  <c r="AZ11" i="35" s="1"/>
  <c r="T11" i="35"/>
  <c r="X11" i="35" s="1"/>
  <c r="AF11" i="35"/>
  <c r="AJ11" i="35"/>
  <c r="AN11" i="35"/>
  <c r="AR11" i="35"/>
  <c r="AV11" i="35"/>
  <c r="P13" i="35"/>
  <c r="AB13" i="35" s="1"/>
  <c r="T13" i="35"/>
  <c r="U13" i="35" s="1"/>
  <c r="AF13" i="35"/>
  <c r="AJ13" i="35"/>
  <c r="AN13" i="35"/>
  <c r="AR13" i="35"/>
  <c r="AS13" i="35" s="1"/>
  <c r="AV13" i="35"/>
  <c r="Z14" i="35"/>
  <c r="AD14" i="35"/>
  <c r="AH14" i="35"/>
  <c r="AL14" i="35"/>
  <c r="AP14" i="35"/>
  <c r="P15" i="35"/>
  <c r="T15" i="35"/>
  <c r="X15" i="35"/>
  <c r="AF15" i="35"/>
  <c r="AG15" i="35" s="1"/>
  <c r="AJ15" i="35"/>
  <c r="AR15" i="35"/>
  <c r="AV15" i="35"/>
  <c r="Z16" i="35"/>
  <c r="AD16" i="35"/>
  <c r="AH16" i="35"/>
  <c r="AL16" i="35"/>
  <c r="AM16" i="35" s="1"/>
  <c r="AP16" i="35"/>
  <c r="P17" i="35"/>
  <c r="T17" i="35"/>
  <c r="U17" i="35" s="1"/>
  <c r="AF17" i="35"/>
  <c r="AJ17" i="35"/>
  <c r="AR17" i="35"/>
  <c r="AS17" i="35" s="1"/>
  <c r="AV17" i="35"/>
  <c r="V18" i="35"/>
  <c r="Z18" i="35"/>
  <c r="AD18" i="35"/>
  <c r="AH18" i="35"/>
  <c r="AL18" i="35"/>
  <c r="AP18" i="35"/>
  <c r="AT18" i="35"/>
  <c r="P19" i="35"/>
  <c r="AN19" i="35" s="1"/>
  <c r="T19" i="35"/>
  <c r="X19" i="35" s="1"/>
  <c r="AF19" i="35"/>
  <c r="AJ19" i="35"/>
  <c r="AR19" i="35"/>
  <c r="AV19" i="35"/>
  <c r="Z20" i="35"/>
  <c r="AD20" i="35"/>
  <c r="AH20" i="35"/>
  <c r="AL20" i="35"/>
  <c r="AP20" i="35" s="1"/>
  <c r="AT20" i="35"/>
  <c r="P21" i="35"/>
  <c r="AB21" i="35" s="1"/>
  <c r="T21" i="35"/>
  <c r="U21" i="35" s="1"/>
  <c r="AF21" i="35"/>
  <c r="AJ21" i="35"/>
  <c r="AN21" i="35"/>
  <c r="AR21" i="35"/>
  <c r="AS21" i="35" s="1"/>
  <c r="AV21" i="35"/>
  <c r="Z22" i="35"/>
  <c r="AD22" i="35"/>
  <c r="AH22" i="35"/>
  <c r="AL22" i="35"/>
  <c r="AP22" i="35"/>
  <c r="P23" i="35"/>
  <c r="T23" i="35"/>
  <c r="U23" i="35" s="1"/>
  <c r="X23" i="35"/>
  <c r="AF23" i="35"/>
  <c r="AJ23" i="35"/>
  <c r="AR23" i="35"/>
  <c r="AV23" i="35"/>
  <c r="Z24" i="35"/>
  <c r="AD24" i="35"/>
  <c r="AL24" i="35"/>
  <c r="AP24" i="35"/>
  <c r="P25" i="35"/>
  <c r="T25" i="35"/>
  <c r="X25" i="35"/>
  <c r="AF25" i="35"/>
  <c r="AJ25" i="35"/>
  <c r="AR25" i="35"/>
  <c r="AV25" i="35"/>
  <c r="Z26" i="35"/>
  <c r="AD26" i="35" s="1"/>
  <c r="AL26" i="35"/>
  <c r="AV26" i="35"/>
  <c r="P32" i="35"/>
  <c r="AF32" i="35"/>
  <c r="AV32" i="35"/>
  <c r="AY33" i="35"/>
  <c r="AU33" i="35"/>
  <c r="AM33" i="35"/>
  <c r="AI33" i="35"/>
  <c r="AA33" i="35"/>
  <c r="W33" i="35"/>
  <c r="AS33" i="35"/>
  <c r="AO33" i="35"/>
  <c r="AG33" i="35"/>
  <c r="AC33" i="35"/>
  <c r="T33" i="35"/>
  <c r="AR33" i="35"/>
  <c r="P34" i="35"/>
  <c r="AF34" i="35"/>
  <c r="AV34" i="35"/>
  <c r="AY35" i="35"/>
  <c r="AU35" i="35"/>
  <c r="AM35" i="35"/>
  <c r="AI35" i="35"/>
  <c r="AA35" i="35"/>
  <c r="W35" i="35"/>
  <c r="AS35" i="35"/>
  <c r="AO35" i="35"/>
  <c r="AP35" i="35" s="1"/>
  <c r="AG35" i="35"/>
  <c r="AC35" i="35"/>
  <c r="T35" i="35"/>
  <c r="AJ35" i="35"/>
  <c r="AR35" i="35"/>
  <c r="P36" i="35"/>
  <c r="AZ36" i="35" s="1"/>
  <c r="AF36" i="35"/>
  <c r="AV36" i="35"/>
  <c r="AY37" i="35"/>
  <c r="AU37" i="35"/>
  <c r="AM37" i="35"/>
  <c r="AN37" i="35" s="1"/>
  <c r="AI37" i="35"/>
  <c r="AA37" i="35"/>
  <c r="W37" i="35"/>
  <c r="AO37" i="35"/>
  <c r="AG37" i="35"/>
  <c r="AC37" i="35"/>
  <c r="T37" i="35"/>
  <c r="AJ37" i="35"/>
  <c r="AR37" i="35"/>
  <c r="P38" i="35"/>
  <c r="AF38" i="35"/>
  <c r="AV38" i="35"/>
  <c r="AY39" i="35"/>
  <c r="AU39" i="35"/>
  <c r="AM39" i="35"/>
  <c r="AI39" i="35"/>
  <c r="AA39" i="35"/>
  <c r="W39" i="35"/>
  <c r="AS39" i="35"/>
  <c r="AO39" i="35"/>
  <c r="AC39" i="35"/>
  <c r="AG39" i="35" s="1"/>
  <c r="T39" i="35"/>
  <c r="AJ39" i="35"/>
  <c r="AR39" i="35"/>
  <c r="P40" i="35"/>
  <c r="AE40" i="35" s="1"/>
  <c r="Z40" i="35"/>
  <c r="AU40" i="35"/>
  <c r="AY44" i="35"/>
  <c r="AU44" i="35"/>
  <c r="AM44" i="35"/>
  <c r="AI44" i="35"/>
  <c r="AA44" i="35"/>
  <c r="W44" i="35"/>
  <c r="AO44" i="35"/>
  <c r="AS44" i="35" s="1"/>
  <c r="AJ44" i="35"/>
  <c r="AK44" i="35" s="1"/>
  <c r="AD44" i="35"/>
  <c r="T44" i="35"/>
  <c r="AL44" i="35"/>
  <c r="AF44" i="35"/>
  <c r="AP44" i="35"/>
  <c r="AQ44" i="35" s="1"/>
  <c r="Z44" i="35"/>
  <c r="P31" i="35"/>
  <c r="T31" i="35"/>
  <c r="AF31" i="35"/>
  <c r="AJ31" i="35"/>
  <c r="AR31" i="35"/>
  <c r="AV31" i="35"/>
  <c r="AS47" i="35"/>
  <c r="AO47" i="35"/>
  <c r="AG47" i="35"/>
  <c r="AC47" i="35"/>
  <c r="AY47" i="35"/>
  <c r="AU47" i="35"/>
  <c r="AM47" i="35"/>
  <c r="AI47" i="35"/>
  <c r="AA47" i="35"/>
  <c r="W47" i="35"/>
  <c r="AR47" i="35"/>
  <c r="AJ47" i="35"/>
  <c r="T47" i="35"/>
  <c r="P47" i="35"/>
  <c r="AL47" i="35"/>
  <c r="AX47" i="35"/>
  <c r="P27" i="35"/>
  <c r="AB27" i="35" s="1"/>
  <c r="T27" i="35"/>
  <c r="X27" i="35" s="1"/>
  <c r="AF27" i="35"/>
  <c r="AJ27" i="35" s="1"/>
  <c r="AR27" i="35"/>
  <c r="AV27" i="35"/>
  <c r="P30" i="35"/>
  <c r="T30" i="35"/>
  <c r="U30" i="35" s="1"/>
  <c r="AF30" i="35"/>
  <c r="AJ30" i="35"/>
  <c r="AR30" i="35"/>
  <c r="AV30" i="35"/>
  <c r="Z31" i="35"/>
  <c r="AD31" i="35"/>
  <c r="AL31" i="35"/>
  <c r="AX41" i="35"/>
  <c r="AP41" i="35"/>
  <c r="AL41" i="35"/>
  <c r="AD41" i="35"/>
  <c r="AE41" i="35" s="1"/>
  <c r="Z41" i="35"/>
  <c r="R41" i="35"/>
  <c r="W41" i="35"/>
  <c r="AG41" i="35"/>
  <c r="AR41" i="35"/>
  <c r="R47" i="35"/>
  <c r="AD47" i="35"/>
  <c r="AY50" i="35"/>
  <c r="AU50" i="35"/>
  <c r="AM50" i="35"/>
  <c r="AI50" i="35"/>
  <c r="W50" i="35"/>
  <c r="AS50" i="35"/>
  <c r="AO50" i="35"/>
  <c r="AG50" i="35"/>
  <c r="AC50" i="35"/>
  <c r="R50" i="35"/>
  <c r="AV50" i="35"/>
  <c r="AF50" i="35"/>
  <c r="X50" i="35"/>
  <c r="P50" i="35"/>
  <c r="AH50" i="35"/>
  <c r="AR50" i="35"/>
  <c r="AY54" i="35"/>
  <c r="AU54" i="35"/>
  <c r="AM54" i="35"/>
  <c r="AI54" i="35"/>
  <c r="AA54" i="35"/>
  <c r="W54" i="35"/>
  <c r="AS54" i="35"/>
  <c r="AO54" i="35"/>
  <c r="AG54" i="35"/>
  <c r="AC54" i="35"/>
  <c r="U54" i="35"/>
  <c r="R54" i="35"/>
  <c r="AV54" i="35"/>
  <c r="AF54" i="35"/>
  <c r="P54" i="35"/>
  <c r="AT54" i="35" s="1"/>
  <c r="AR54" i="35"/>
  <c r="AY42" i="35"/>
  <c r="AU42" i="35"/>
  <c r="AM42" i="35"/>
  <c r="P42" i="35"/>
  <c r="T42" i="35"/>
  <c r="X42" i="35" s="1"/>
  <c r="AF42" i="35"/>
  <c r="AJ42" i="35"/>
  <c r="AO42" i="35"/>
  <c r="AY48" i="35"/>
  <c r="AU48" i="35"/>
  <c r="AM48" i="35"/>
  <c r="AI48" i="35"/>
  <c r="W48" i="35"/>
  <c r="AA48" i="35" s="1"/>
  <c r="AS48" i="35"/>
  <c r="AO48" i="35"/>
  <c r="AG48" i="35"/>
  <c r="AC48" i="35"/>
  <c r="AF48" i="35"/>
  <c r="X48" i="35"/>
  <c r="P48" i="35"/>
  <c r="AR48" i="35"/>
  <c r="AL50" i="35"/>
  <c r="AX50" i="35"/>
  <c r="AY52" i="35"/>
  <c r="AU52" i="35"/>
  <c r="AM52" i="35"/>
  <c r="AI52" i="35"/>
  <c r="AA52" i="35"/>
  <c r="W52" i="35"/>
  <c r="X52" i="35" s="1"/>
  <c r="AS52" i="35"/>
  <c r="AO52" i="35"/>
  <c r="AC52" i="35"/>
  <c r="U52" i="35"/>
  <c r="AV52" i="35"/>
  <c r="AF52" i="35"/>
  <c r="AG52" i="35" s="1"/>
  <c r="P52" i="35"/>
  <c r="AE52" i="35" s="1"/>
  <c r="AR52" i="35"/>
  <c r="AL54" i="35"/>
  <c r="AX54" i="35"/>
  <c r="AS49" i="35"/>
  <c r="AT49" i="35" s="1"/>
  <c r="AO49" i="35"/>
  <c r="AG49" i="35"/>
  <c r="AH49" i="35" s="1"/>
  <c r="AC49" i="35"/>
  <c r="AY49" i="35"/>
  <c r="AZ49" i="35" s="1"/>
  <c r="AU49" i="35"/>
  <c r="AM49" i="35"/>
  <c r="AN49" i="35" s="1"/>
  <c r="AI49" i="35"/>
  <c r="AE49" i="35"/>
  <c r="W49" i="35"/>
  <c r="AA49" i="35" s="1"/>
  <c r="T49" i="35"/>
  <c r="AJ49" i="35"/>
  <c r="AK49" i="35" s="1"/>
  <c r="AR49" i="35"/>
  <c r="AS51" i="35"/>
  <c r="AO51" i="35"/>
  <c r="AG51" i="35"/>
  <c r="AC51" i="35"/>
  <c r="AD51" i="35" s="1"/>
  <c r="R51" i="35"/>
  <c r="AY51" i="35"/>
  <c r="AZ51" i="35" s="1"/>
  <c r="AU51" i="35"/>
  <c r="AQ51" i="35"/>
  <c r="AM51" i="35"/>
  <c r="AI51" i="35"/>
  <c r="AA51" i="35"/>
  <c r="W51" i="35"/>
  <c r="T51" i="35"/>
  <c r="AJ51" i="35"/>
  <c r="AR51" i="35"/>
  <c r="AW53" i="35"/>
  <c r="AS53" i="35"/>
  <c r="AO53" i="35"/>
  <c r="AG53" i="35"/>
  <c r="AH53" i="35" s="1"/>
  <c r="AC53" i="35"/>
  <c r="U53" i="35"/>
  <c r="R53" i="35"/>
  <c r="S53" i="35" s="1"/>
  <c r="AY53" i="35"/>
  <c r="AZ53" i="35" s="1"/>
  <c r="AU53" i="35"/>
  <c r="AM53" i="35"/>
  <c r="AN53" i="35" s="1"/>
  <c r="AI53" i="35"/>
  <c r="AA53" i="35"/>
  <c r="AB53" i="35" s="1"/>
  <c r="W53" i="35"/>
  <c r="T53" i="35"/>
  <c r="AR53" i="35"/>
  <c r="AS37" i="35" l="1"/>
  <c r="AT37" i="35" s="1"/>
  <c r="AZ13" i="35"/>
  <c r="AQ8" i="35"/>
  <c r="AZ19" i="35"/>
  <c r="AH12" i="35"/>
  <c r="AK41" i="35"/>
  <c r="AB19" i="35"/>
  <c r="V41" i="35"/>
  <c r="AN27" i="35"/>
  <c r="AZ20" i="35"/>
  <c r="AH8" i="35"/>
  <c r="AP11" i="35"/>
  <c r="U25" i="35"/>
  <c r="AH24" i="35"/>
  <c r="AN43" i="35"/>
  <c r="V53" i="35"/>
  <c r="AT53" i="35"/>
  <c r="AN51" i="35"/>
  <c r="S51" i="35"/>
  <c r="AT51" i="35"/>
  <c r="AB49" i="35"/>
  <c r="AA38" i="35"/>
  <c r="S49" i="35"/>
  <c r="AQ33" i="35"/>
  <c r="AB51" i="35"/>
  <c r="AH51" i="35"/>
  <c r="AN48" i="35"/>
  <c r="AZ31" i="35"/>
  <c r="AP40" i="35"/>
  <c r="Y51" i="35"/>
  <c r="AH46" i="35"/>
  <c r="AQ37" i="35"/>
  <c r="S37" i="35"/>
  <c r="AQ49" i="35"/>
  <c r="AW44" i="35"/>
  <c r="AH48" i="35"/>
  <c r="AQ48" i="35"/>
  <c r="AE37" i="35"/>
  <c r="S46" i="35"/>
  <c r="V46" i="35"/>
  <c r="AB41" i="35"/>
  <c r="AN46" i="35"/>
  <c r="AE50" i="35"/>
  <c r="AW41" i="35"/>
  <c r="S41" i="35"/>
  <c r="AH41" i="35"/>
  <c r="AN30" i="35"/>
  <c r="AH44" i="35"/>
  <c r="AT44" i="35"/>
  <c r="AN44" i="35"/>
  <c r="AW37" i="35"/>
  <c r="AZ37" i="35"/>
  <c r="AK34" i="35"/>
  <c r="Y46" i="35"/>
  <c r="AE46" i="35"/>
  <c r="AK46" i="35"/>
  <c r="AZ41" i="35"/>
  <c r="S44" i="35"/>
  <c r="AE53" i="35"/>
  <c r="AT41" i="35"/>
  <c r="AW51" i="35"/>
  <c r="V40" i="35"/>
  <c r="AQ41" i="35"/>
  <c r="AG30" i="35"/>
  <c r="U47" i="35"/>
  <c r="V47" i="35" s="1"/>
  <c r="AE44" i="35"/>
  <c r="AB44" i="35"/>
  <c r="AZ44" i="35"/>
  <c r="AK37" i="35"/>
  <c r="AH37" i="35"/>
  <c r="AB37" i="35"/>
  <c r="AT33" i="35"/>
  <c r="AQ40" i="35"/>
  <c r="AH45" i="35"/>
  <c r="AD25" i="35"/>
  <c r="BA25" i="35" s="1"/>
  <c r="U24" i="35"/>
  <c r="V24" i="35" s="1"/>
  <c r="AA24" i="35"/>
  <c r="AB24" i="35" s="1"/>
  <c r="AJ53" i="35"/>
  <c r="AK53" i="35" s="1"/>
  <c r="AW45" i="35"/>
  <c r="AK51" i="35"/>
  <c r="AE51" i="35"/>
  <c r="Y48" i="35"/>
  <c r="AM41" i="35"/>
  <c r="AN41" i="35" s="1"/>
  <c r="AN31" i="35"/>
  <c r="S40" i="35"/>
  <c r="X37" i="35"/>
  <c r="Y37" i="35" s="1"/>
  <c r="AB35" i="35"/>
  <c r="AZ33" i="35"/>
  <c r="AH33" i="35"/>
  <c r="AN33" i="35"/>
  <c r="AK36" i="35"/>
  <c r="AE36" i="35"/>
  <c r="AP36" i="35"/>
  <c r="AB45" i="35"/>
  <c r="AE48" i="35"/>
  <c r="AW33" i="35"/>
  <c r="AV46" i="35"/>
  <c r="AW46" i="35" s="1"/>
  <c r="AK45" i="35"/>
  <c r="BA52" i="35"/>
  <c r="AZ39" i="35"/>
  <c r="AH39" i="35"/>
  <c r="AB39" i="35"/>
  <c r="AQ35" i="35"/>
  <c r="AB33" i="35"/>
  <c r="AQ52" i="35"/>
  <c r="X54" i="35"/>
  <c r="Y54" i="35" s="1"/>
  <c r="AT31" i="35"/>
  <c r="AZ35" i="35"/>
  <c r="AQ39" i="35"/>
  <c r="AN52" i="35"/>
  <c r="Y50" i="35"/>
  <c r="AQ50" i="35"/>
  <c r="AP31" i="35"/>
  <c r="AQ31" i="35" s="1"/>
  <c r="V31" i="35"/>
  <c r="AB31" i="35"/>
  <c r="U44" i="35"/>
  <c r="V44" i="35" s="1"/>
  <c r="AK39" i="35"/>
  <c r="AT39" i="35"/>
  <c r="S35" i="35"/>
  <c r="AJ33" i="35"/>
  <c r="AK33" i="35" s="1"/>
  <c r="X36" i="35"/>
  <c r="Y36" i="35" s="1"/>
  <c r="AN36" i="35"/>
  <c r="AN45" i="35"/>
  <c r="X32" i="35"/>
  <c r="Y32" i="35" s="1"/>
  <c r="AH52" i="35"/>
  <c r="AJ54" i="35"/>
  <c r="AK54" i="35" s="1"/>
  <c r="AA50" i="35"/>
  <c r="AB50" i="35" s="1"/>
  <c r="AH31" i="35"/>
  <c r="AB30" i="35"/>
  <c r="X31" i="35"/>
  <c r="Y31" i="35" s="1"/>
  <c r="AB40" i="35"/>
  <c r="AN39" i="35"/>
  <c r="AW35" i="35"/>
  <c r="AN40" i="35"/>
  <c r="AM34" i="35"/>
  <c r="AN34" i="35" s="1"/>
  <c r="AW39" i="35"/>
  <c r="Y52" i="35"/>
  <c r="AE47" i="35"/>
  <c r="AT47" i="35"/>
  <c r="AZ47" i="35"/>
  <c r="AW47" i="35"/>
  <c r="AH47" i="35"/>
  <c r="AP47" i="35"/>
  <c r="AQ47" i="35" s="1"/>
  <c r="X53" i="35"/>
  <c r="Y53" i="35" s="1"/>
  <c r="X45" i="35"/>
  <c r="AZ45" i="35"/>
  <c r="AQ45" i="35"/>
  <c r="AS45" i="35"/>
  <c r="AT45" i="35" s="1"/>
  <c r="S45" i="35"/>
  <c r="AP42" i="35"/>
  <c r="X41" i="35"/>
  <c r="Y41" i="35" s="1"/>
  <c r="U39" i="35"/>
  <c r="V39" i="35" s="1"/>
  <c r="AK35" i="35"/>
  <c r="AT35" i="35"/>
  <c r="AE35" i="35"/>
  <c r="U35" i="35"/>
  <c r="V35" i="35" s="1"/>
  <c r="AH35" i="35"/>
  <c r="X35" i="35"/>
  <c r="Y35" i="35" s="1"/>
  <c r="AN35" i="35"/>
  <c r="AW34" i="35"/>
  <c r="AE34" i="35"/>
  <c r="AZ34" i="35"/>
  <c r="AQ34" i="35"/>
  <c r="V26" i="35"/>
  <c r="AT26" i="35"/>
  <c r="AB26" i="35"/>
  <c r="AQ26" i="35"/>
  <c r="AS22" i="35"/>
  <c r="AT22" i="35" s="1"/>
  <c r="AB22" i="35"/>
  <c r="AN22" i="35"/>
  <c r="V22" i="35"/>
  <c r="U15" i="35"/>
  <c r="V8" i="35"/>
  <c r="AN6" i="35"/>
  <c r="V42" i="35"/>
  <c r="AW42" i="35"/>
  <c r="Y42" i="35"/>
  <c r="S42" i="35"/>
  <c r="AN42" i="35"/>
  <c r="AH42" i="35"/>
  <c r="AK42" i="35"/>
  <c r="AE42" i="35"/>
  <c r="AZ54" i="35"/>
  <c r="AQ54" i="35"/>
  <c r="X44" i="35"/>
  <c r="Y44" i="35" s="1"/>
  <c r="AH38" i="35"/>
  <c r="AT38" i="35"/>
  <c r="X33" i="35"/>
  <c r="Y33" i="35" s="1"/>
  <c r="R33" i="35"/>
  <c r="S33" i="35" s="1"/>
  <c r="AH32" i="35"/>
  <c r="AT25" i="35"/>
  <c r="AH25" i="35"/>
  <c r="V25" i="35"/>
  <c r="AQ25" i="35"/>
  <c r="Y25" i="35"/>
  <c r="AW25" i="35"/>
  <c r="AK25" i="35"/>
  <c r="S25" i="35"/>
  <c r="AT23" i="35"/>
  <c r="AH23" i="35"/>
  <c r="V23" i="35"/>
  <c r="AQ23" i="35"/>
  <c r="AE23" i="35"/>
  <c r="S23" i="35"/>
  <c r="AW23" i="35"/>
  <c r="AK23" i="35"/>
  <c r="Y23" i="35"/>
  <c r="AT17" i="35"/>
  <c r="AH17" i="35"/>
  <c r="V17" i="35"/>
  <c r="AW17" i="35"/>
  <c r="AK17" i="35"/>
  <c r="AQ17" i="35"/>
  <c r="AE17" i="35"/>
  <c r="S17" i="35"/>
  <c r="AT15" i="35"/>
  <c r="AH15" i="35"/>
  <c r="V15" i="35"/>
  <c r="AQ15" i="35"/>
  <c r="AE15" i="35"/>
  <c r="S15" i="35"/>
  <c r="AW15" i="35"/>
  <c r="AK15" i="35"/>
  <c r="Y15" i="35"/>
  <c r="AB38" i="35"/>
  <c r="AE38" i="35"/>
  <c r="AB32" i="35"/>
  <c r="AQ32" i="35"/>
  <c r="AK24" i="35"/>
  <c r="AQ24" i="35"/>
  <c r="S24" i="35"/>
  <c r="AW24" i="35"/>
  <c r="Y24" i="35"/>
  <c r="AE24" i="35"/>
  <c r="AK16" i="35"/>
  <c r="AQ16" i="35"/>
  <c r="S16" i="35"/>
  <c r="AW16" i="35"/>
  <c r="Y16" i="35"/>
  <c r="AE16" i="35"/>
  <c r="AE14" i="35"/>
  <c r="AK14" i="35"/>
  <c r="AQ14" i="35"/>
  <c r="S14" i="35"/>
  <c r="AW14" i="35"/>
  <c r="Y14" i="35"/>
  <c r="X22" i="35"/>
  <c r="Y22" i="35" s="1"/>
  <c r="AZ15" i="35"/>
  <c r="AM10" i="35"/>
  <c r="AN10" i="35" s="1"/>
  <c r="AZ7" i="35"/>
  <c r="S43" i="35"/>
  <c r="AH43" i="35"/>
  <c r="AB43" i="35"/>
  <c r="AW43" i="35"/>
  <c r="Y28" i="35"/>
  <c r="AZ28" i="35"/>
  <c r="AE28" i="35"/>
  <c r="AK28" i="35"/>
  <c r="AT28" i="35"/>
  <c r="U51" i="35"/>
  <c r="V51" i="35" s="1"/>
  <c r="V52" i="35"/>
  <c r="AW52" i="35"/>
  <c r="AZ48" i="35"/>
  <c r="AT48" i="35"/>
  <c r="AB48" i="35"/>
  <c r="AK48" i="35"/>
  <c r="S48" i="35"/>
  <c r="AZ42" i="35"/>
  <c r="AW54" i="35"/>
  <c r="AE54" i="35"/>
  <c r="AN50" i="35"/>
  <c r="AK27" i="35"/>
  <c r="AE27" i="35"/>
  <c r="AH27" i="35"/>
  <c r="AT27" i="35"/>
  <c r="Y27" i="35"/>
  <c r="S27" i="35"/>
  <c r="AW27" i="35"/>
  <c r="AQ27" i="35"/>
  <c r="V27" i="35"/>
  <c r="AN47" i="35"/>
  <c r="AB47" i="35"/>
  <c r="S47" i="35"/>
  <c r="AK47" i="35"/>
  <c r="AW31" i="35"/>
  <c r="AK31" i="35"/>
  <c r="AE31" i="35"/>
  <c r="S31" i="35"/>
  <c r="AK40" i="35"/>
  <c r="X39" i="35"/>
  <c r="Y39" i="35" s="1"/>
  <c r="R39" i="35"/>
  <c r="S39" i="35" s="1"/>
  <c r="U37" i="35"/>
  <c r="V37" i="35" s="1"/>
  <c r="K37" i="35" s="1"/>
  <c r="AT36" i="35"/>
  <c r="AH36" i="35"/>
  <c r="AB25" i="35"/>
  <c r="AT24" i="35"/>
  <c r="AB23" i="35"/>
  <c r="V20" i="35"/>
  <c r="AT19" i="35"/>
  <c r="AH19" i="35"/>
  <c r="V19" i="35"/>
  <c r="AQ19" i="35"/>
  <c r="AE19" i="35"/>
  <c r="S19" i="35"/>
  <c r="AW19" i="35"/>
  <c r="AK19" i="35"/>
  <c r="Y19" i="35"/>
  <c r="AT16" i="35"/>
  <c r="AB15" i="35"/>
  <c r="AT14" i="35"/>
  <c r="AB11" i="35"/>
  <c r="AA46" i="35"/>
  <c r="AB46" i="35" s="1"/>
  <c r="AY46" i="35"/>
  <c r="AZ46" i="35" s="1"/>
  <c r="AZ38" i="35"/>
  <c r="U38" i="35"/>
  <c r="V38" i="35" s="1"/>
  <c r="AW38" i="35"/>
  <c r="AB36" i="35"/>
  <c r="AQ36" i="35"/>
  <c r="U34" i="35"/>
  <c r="V34" i="35" s="1"/>
  <c r="R34" i="35"/>
  <c r="S34" i="35" s="1"/>
  <c r="AZ32" i="35"/>
  <c r="U32" i="35"/>
  <c r="V32" i="35" s="1"/>
  <c r="AE32" i="35"/>
  <c r="AW32" i="35"/>
  <c r="AN26" i="35"/>
  <c r="AE22" i="35"/>
  <c r="AK22" i="35"/>
  <c r="AQ22" i="35"/>
  <c r="S22" i="35"/>
  <c r="AW22" i="35"/>
  <c r="AZ14" i="35"/>
  <c r="U48" i="35"/>
  <c r="V48" i="35" s="1"/>
  <c r="AW28" i="35"/>
  <c r="AZ27" i="35"/>
  <c r="V6" i="35"/>
  <c r="U45" i="35"/>
  <c r="V45" i="35" s="1"/>
  <c r="Y45" i="35"/>
  <c r="X17" i="35"/>
  <c r="Y17" i="35" s="1"/>
  <c r="AW8" i="35"/>
  <c r="AB8" i="35"/>
  <c r="X43" i="35"/>
  <c r="Y43" i="35" s="1"/>
  <c r="AE43" i="35"/>
  <c r="AZ43" i="35"/>
  <c r="AQ28" i="35"/>
  <c r="AH28" i="35"/>
  <c r="AZ10" i="35"/>
  <c r="AE10" i="35"/>
  <c r="AZ25" i="35"/>
  <c r="AV49" i="35"/>
  <c r="AW49" i="35" s="1"/>
  <c r="AB54" i="35"/>
  <c r="AB52" i="35"/>
  <c r="AZ52" i="35"/>
  <c r="AT52" i="35"/>
  <c r="AK52" i="35"/>
  <c r="S52" i="35"/>
  <c r="AT42" i="35"/>
  <c r="AB42" i="35"/>
  <c r="AQ42" i="35"/>
  <c r="AH54" i="35"/>
  <c r="AN54" i="35"/>
  <c r="S54" i="35"/>
  <c r="AT50" i="35"/>
  <c r="AZ50" i="35"/>
  <c r="AW50" i="35"/>
  <c r="AK30" i="35"/>
  <c r="AE30" i="35"/>
  <c r="AH30" i="35"/>
  <c r="AW30" i="35"/>
  <c r="AQ30" i="35"/>
  <c r="V30" i="35"/>
  <c r="AT30" i="35"/>
  <c r="S30" i="35"/>
  <c r="Y30" i="35"/>
  <c r="X47" i="35"/>
  <c r="Y47" i="35" s="1"/>
  <c r="AN38" i="35"/>
  <c r="AN32" i="35"/>
  <c r="AN25" i="35"/>
  <c r="AN23" i="35"/>
  <c r="AB17" i="35"/>
  <c r="AN15" i="35"/>
  <c r="AH9" i="35"/>
  <c r="AW9" i="35"/>
  <c r="AQ9" i="35"/>
  <c r="V9" i="35"/>
  <c r="AT9" i="35"/>
  <c r="S9" i="35"/>
  <c r="AK9" i="35"/>
  <c r="AE9" i="35"/>
  <c r="Y9" i="35"/>
  <c r="AH7" i="35"/>
  <c r="AW7" i="35"/>
  <c r="AQ7" i="35"/>
  <c r="V7" i="35"/>
  <c r="AT7" i="35"/>
  <c r="Y7" i="35"/>
  <c r="AK7" i="35"/>
  <c r="AE7" i="35"/>
  <c r="S7" i="35"/>
  <c r="X38" i="35"/>
  <c r="Y38" i="35" s="1"/>
  <c r="R38" i="35"/>
  <c r="S38" i="35" s="1"/>
  <c r="AK38" i="35"/>
  <c r="U36" i="35"/>
  <c r="V36" i="35" s="1"/>
  <c r="X34" i="35"/>
  <c r="Y34" i="35" s="1"/>
  <c r="AS32" i="35"/>
  <c r="AT32" i="35" s="1"/>
  <c r="S32" i="35"/>
  <c r="AN24" i="35"/>
  <c r="AW20" i="35"/>
  <c r="Y20" i="35"/>
  <c r="AE20" i="35"/>
  <c r="AK20" i="35"/>
  <c r="AQ20" i="35"/>
  <c r="S20" i="35"/>
  <c r="AB16" i="35"/>
  <c r="AB14" i="35"/>
  <c r="AZ30" i="35"/>
  <c r="AQ43" i="35"/>
  <c r="AT43" i="35"/>
  <c r="AK43" i="35"/>
  <c r="S28" i="35"/>
  <c r="AN28" i="35"/>
  <c r="AZ8" i="35"/>
  <c r="Y8" i="35"/>
  <c r="AE8" i="35"/>
  <c r="AW6" i="35"/>
  <c r="Y6" i="35"/>
  <c r="AE6" i="35"/>
  <c r="AZ6" i="35"/>
  <c r="S6" i="35"/>
  <c r="AT6" i="35"/>
  <c r="X21" i="35"/>
  <c r="Y21" i="35" s="1"/>
  <c r="U49" i="35"/>
  <c r="V49" i="35" s="1"/>
  <c r="AV48" i="35"/>
  <c r="AW48" i="35" s="1"/>
  <c r="V54" i="35"/>
  <c r="AK50" i="35"/>
  <c r="S50" i="35"/>
  <c r="AH40" i="35"/>
  <c r="AH34" i="35"/>
  <c r="AT34" i="35"/>
  <c r="U33" i="35"/>
  <c r="V33" i="35" s="1"/>
  <c r="AT21" i="35"/>
  <c r="AH21" i="35"/>
  <c r="V21" i="35"/>
  <c r="AQ21" i="35"/>
  <c r="AE21" i="35"/>
  <c r="S21" i="35"/>
  <c r="AW21" i="35"/>
  <c r="AK21" i="35"/>
  <c r="AN17" i="35"/>
  <c r="V16" i="35"/>
  <c r="V14" i="35"/>
  <c r="AT13" i="35"/>
  <c r="AH13" i="35"/>
  <c r="AQ13" i="35"/>
  <c r="V13" i="35"/>
  <c r="AW13" i="35"/>
  <c r="AK13" i="35"/>
  <c r="AE13" i="35"/>
  <c r="S13" i="35"/>
  <c r="AH11" i="35"/>
  <c r="AW11" i="35"/>
  <c r="AQ11" i="35"/>
  <c r="V11" i="35"/>
  <c r="AT11" i="35"/>
  <c r="Y11" i="35"/>
  <c r="AK11" i="35"/>
  <c r="AE11" i="35"/>
  <c r="S11" i="35"/>
  <c r="U50" i="35"/>
  <c r="V50" i="35" s="1"/>
  <c r="Y40" i="35"/>
  <c r="AT40" i="35"/>
  <c r="AW40" i="35"/>
  <c r="AZ40" i="35"/>
  <c r="AQ38" i="35"/>
  <c r="S36" i="35"/>
  <c r="AW36" i="35"/>
  <c r="AB34" i="35"/>
  <c r="AK32" i="35"/>
  <c r="AK26" i="35"/>
  <c r="S26" i="35"/>
  <c r="AZ26" i="35"/>
  <c r="Y26" i="35"/>
  <c r="AW26" i="35"/>
  <c r="AE26" i="35"/>
  <c r="AZ24" i="35"/>
  <c r="AQ18" i="35"/>
  <c r="S18" i="35"/>
  <c r="AW18" i="35"/>
  <c r="Y18" i="35"/>
  <c r="AE18" i="35"/>
  <c r="AK18" i="35"/>
  <c r="AN16" i="35"/>
  <c r="AN14" i="35"/>
  <c r="AB28" i="35"/>
  <c r="AZ23" i="35"/>
  <c r="X13" i="35"/>
  <c r="Y13" i="35" s="1"/>
  <c r="S8" i="35"/>
  <c r="AE45" i="35"/>
  <c r="AZ21" i="35"/>
  <c r="R10" i="35"/>
  <c r="S10" i="35" s="1"/>
  <c r="X10" i="35"/>
  <c r="Y10" i="35" s="1"/>
  <c r="U43" i="35"/>
  <c r="V43" i="35" s="1"/>
  <c r="V28" i="35"/>
  <c r="AZ12" i="35"/>
  <c r="Y12" i="35"/>
  <c r="K12" i="35" s="1"/>
  <c r="AE12" i="35"/>
  <c r="AK8" i="35"/>
  <c r="AB6" i="35"/>
  <c r="AH6" i="35"/>
  <c r="AZ17" i="35"/>
  <c r="K53" i="35" l="1"/>
  <c r="K27" i="35"/>
  <c r="K41" i="35"/>
  <c r="O41" i="35" s="1"/>
  <c r="K51" i="35"/>
  <c r="M51" i="35" s="1"/>
  <c r="AE25" i="35"/>
  <c r="K25" i="35" s="1"/>
  <c r="BA24" i="35"/>
  <c r="K24" i="35"/>
  <c r="K30" i="35"/>
  <c r="O30" i="35" s="1"/>
  <c r="K40" i="35"/>
  <c r="O40" i="35" s="1"/>
  <c r="K31" i="35"/>
  <c r="O31" i="35" s="1"/>
  <c r="K44" i="35"/>
  <c r="M44" i="35" s="1"/>
  <c r="K46" i="35"/>
  <c r="M46" i="35" s="1"/>
  <c r="K49" i="35"/>
  <c r="M49" i="35" s="1"/>
  <c r="K45" i="35"/>
  <c r="O45" i="35" s="1"/>
  <c r="K39" i="35"/>
  <c r="O39" i="35" s="1"/>
  <c r="K35" i="35"/>
  <c r="M12" i="35"/>
  <c r="O12" i="35"/>
  <c r="K8" i="35"/>
  <c r="K13" i="35"/>
  <c r="K50" i="35"/>
  <c r="K6" i="35"/>
  <c r="K20" i="35"/>
  <c r="K7" i="35"/>
  <c r="K9" i="35"/>
  <c r="K52" i="35"/>
  <c r="K47" i="35"/>
  <c r="K16" i="35"/>
  <c r="K10" i="35"/>
  <c r="K26" i="35"/>
  <c r="K28" i="35"/>
  <c r="K54" i="35"/>
  <c r="K48" i="35"/>
  <c r="K14" i="35"/>
  <c r="K15" i="35"/>
  <c r="K33" i="35"/>
  <c r="K42" i="35"/>
  <c r="M41" i="35"/>
  <c r="K18" i="35"/>
  <c r="K36" i="35"/>
  <c r="K38" i="35"/>
  <c r="O27" i="35"/>
  <c r="M27" i="35"/>
  <c r="K43" i="35"/>
  <c r="O37" i="35"/>
  <c r="M37" i="35"/>
  <c r="K11" i="35"/>
  <c r="K21" i="35"/>
  <c r="K32" i="35"/>
  <c r="O51" i="35"/>
  <c r="K22" i="35"/>
  <c r="K34" i="35"/>
  <c r="K19" i="35"/>
  <c r="K17" i="35"/>
  <c r="K23" i="35"/>
  <c r="O53" i="35"/>
  <c r="M53" i="35"/>
  <c r="O44" i="35" l="1"/>
  <c r="M31" i="35"/>
  <c r="M30" i="35"/>
  <c r="M40" i="35"/>
  <c r="O46" i="35"/>
  <c r="O49" i="35"/>
  <c r="M39" i="35"/>
  <c r="M45" i="35"/>
  <c r="O35" i="35"/>
  <c r="M35" i="35"/>
  <c r="O34" i="35"/>
  <c r="M34" i="35"/>
  <c r="O32" i="35"/>
  <c r="M32" i="35"/>
  <c r="O36" i="35"/>
  <c r="M36" i="35"/>
  <c r="M42" i="35"/>
  <c r="O42" i="35"/>
  <c r="M14" i="35"/>
  <c r="O14" i="35"/>
  <c r="M26" i="35"/>
  <c r="O26" i="35"/>
  <c r="O52" i="35"/>
  <c r="M52" i="35"/>
  <c r="M6" i="35"/>
  <c r="O6" i="35"/>
  <c r="M23" i="35"/>
  <c r="O23" i="35"/>
  <c r="M22" i="35"/>
  <c r="O22" i="35"/>
  <c r="M21" i="35"/>
  <c r="O21" i="35"/>
  <c r="M24" i="35"/>
  <c r="O24" i="35"/>
  <c r="M18" i="35"/>
  <c r="O18" i="35"/>
  <c r="O33" i="35"/>
  <c r="M33" i="35"/>
  <c r="O48" i="35"/>
  <c r="M48" i="35"/>
  <c r="M10" i="35"/>
  <c r="O10" i="35"/>
  <c r="O9" i="35"/>
  <c r="M9" i="35"/>
  <c r="O50" i="35"/>
  <c r="M50" i="35"/>
  <c r="M17" i="35"/>
  <c r="O17" i="35"/>
  <c r="M11" i="35"/>
  <c r="O11" i="35"/>
  <c r="O43" i="35"/>
  <c r="M43" i="35"/>
  <c r="M25" i="35"/>
  <c r="O25" i="35"/>
  <c r="O54" i="35"/>
  <c r="M54" i="35"/>
  <c r="M16" i="35"/>
  <c r="O16" i="35"/>
  <c r="M7" i="35"/>
  <c r="O7" i="35"/>
  <c r="O13" i="35"/>
  <c r="M13" i="35"/>
  <c r="M19" i="35"/>
  <c r="O19" i="35"/>
  <c r="O38" i="35"/>
  <c r="M38" i="35"/>
  <c r="M15" i="35"/>
  <c r="O15" i="35"/>
  <c r="M28" i="35"/>
  <c r="O28" i="35"/>
  <c r="O47" i="35"/>
  <c r="M47" i="35"/>
  <c r="M20" i="35"/>
  <c r="O20" i="35"/>
  <c r="M8" i="35"/>
  <c r="O8" i="35"/>
  <c r="AY54" i="34" l="1"/>
  <c r="AU54" i="34"/>
  <c r="AP54" i="34"/>
  <c r="AD54" i="34"/>
  <c r="Z54" i="34"/>
  <c r="T54" i="34"/>
  <c r="AV54" i="34"/>
  <c r="AX53" i="34"/>
  <c r="AS53" i="34"/>
  <c r="AD53" i="34"/>
  <c r="AC53" i="34"/>
  <c r="T53" i="34"/>
  <c r="AV53" i="34"/>
  <c r="AY52" i="34"/>
  <c r="AM52" i="34"/>
  <c r="AP52" i="34"/>
  <c r="AP50" i="34"/>
  <c r="AX50" i="34"/>
  <c r="AJ49" i="34"/>
  <c r="AO49" i="34"/>
  <c r="AR48" i="34"/>
  <c r="AX46" i="34"/>
  <c r="AP46" i="34"/>
  <c r="AM46" i="34"/>
  <c r="AD46" i="34"/>
  <c r="AC46" i="34"/>
  <c r="Q46" i="34"/>
  <c r="R46" i="34" s="1"/>
  <c r="AU46" i="34"/>
  <c r="AV45" i="34"/>
  <c r="AU44" i="34"/>
  <c r="AY42" i="34"/>
  <c r="AS42" i="34"/>
  <c r="AO42" i="34"/>
  <c r="AI42" i="34"/>
  <c r="AG42" i="34"/>
  <c r="AA42" i="34"/>
  <c r="Z42" i="34"/>
  <c r="Q42" i="34"/>
  <c r="R42" i="34" s="1"/>
  <c r="AX42" i="34"/>
  <c r="AS41" i="34"/>
  <c r="AI41" i="34"/>
  <c r="AY41" i="34"/>
  <c r="AM40" i="34"/>
  <c r="AD40" i="34"/>
  <c r="W40" i="34"/>
  <c r="AM39" i="34"/>
  <c r="AI39" i="34"/>
  <c r="Q39" i="34"/>
  <c r="R39" i="34" s="1"/>
  <c r="AY39" i="34"/>
  <c r="AY38" i="34"/>
  <c r="AP38" i="34"/>
  <c r="AI38" i="34"/>
  <c r="Z38" i="34"/>
  <c r="AS38" i="34"/>
  <c r="AI37" i="34"/>
  <c r="AS36" i="34"/>
  <c r="AI36" i="34"/>
  <c r="AA36" i="34"/>
  <c r="Q36" i="34"/>
  <c r="R36" i="34" s="1"/>
  <c r="AU36" i="34"/>
  <c r="AV35" i="34"/>
  <c r="AS34" i="34"/>
  <c r="AV33" i="34"/>
  <c r="AY32" i="34"/>
  <c r="AO32" i="34"/>
  <c r="AG32" i="34"/>
  <c r="Z32" i="34"/>
  <c r="AP32" i="34"/>
  <c r="AY31" i="34"/>
  <c r="AV30" i="34"/>
  <c r="AS30" i="34"/>
  <c r="AP30" i="34"/>
  <c r="AJ30" i="34"/>
  <c r="AF30" i="34"/>
  <c r="AD30" i="34"/>
  <c r="Z30" i="34"/>
  <c r="T30" i="34"/>
  <c r="P30" i="34"/>
  <c r="AX30" i="34"/>
  <c r="Z28" i="34"/>
  <c r="AV28" i="34"/>
  <c r="AV27" i="34"/>
  <c r="AS27" i="34"/>
  <c r="AP27" i="34"/>
  <c r="AF27" i="34"/>
  <c r="AD27" i="34"/>
  <c r="AC27" i="34"/>
  <c r="U27" i="34"/>
  <c r="T27" i="34"/>
  <c r="P27" i="34"/>
  <c r="AX27" i="34"/>
  <c r="AY26" i="34"/>
  <c r="AV26" i="34"/>
  <c r="AL26" i="34"/>
  <c r="AJ26" i="34"/>
  <c r="AF26" i="34"/>
  <c r="Z26" i="34"/>
  <c r="T26" i="34"/>
  <c r="P26" i="34"/>
  <c r="AX25" i="34"/>
  <c r="AJ25" i="34"/>
  <c r="T25" i="34"/>
  <c r="AS25" i="34"/>
  <c r="AY24" i="34"/>
  <c r="AU24" i="34"/>
  <c r="AP24" i="34"/>
  <c r="AL24" i="34"/>
  <c r="AI24" i="34"/>
  <c r="AF24" i="34"/>
  <c r="AD24" i="34"/>
  <c r="X24" i="34"/>
  <c r="T24" i="34"/>
  <c r="P24" i="34"/>
  <c r="AV24" i="34"/>
  <c r="AV23" i="34"/>
  <c r="AD23" i="34"/>
  <c r="P23" i="34"/>
  <c r="AO23" i="34"/>
  <c r="AV22" i="34"/>
  <c r="AI22" i="34"/>
  <c r="P22" i="34"/>
  <c r="AL22" i="34"/>
  <c r="AP21" i="34"/>
  <c r="AO21" i="34"/>
  <c r="AC21" i="34"/>
  <c r="T21" i="34"/>
  <c r="AF21" i="34"/>
  <c r="AY20" i="34"/>
  <c r="AJ20" i="34"/>
  <c r="AI20" i="34"/>
  <c r="AA20" i="34"/>
  <c r="Z20" i="34"/>
  <c r="AV20" i="34"/>
  <c r="AV19" i="34"/>
  <c r="AP19" i="34"/>
  <c r="AJ19" i="34"/>
  <c r="AF19" i="34"/>
  <c r="Z19" i="34"/>
  <c r="U19" i="34"/>
  <c r="T19" i="34"/>
  <c r="AL18" i="34"/>
  <c r="AD18" i="34"/>
  <c r="P18" i="34"/>
  <c r="AU18" i="34"/>
  <c r="AX17" i="34"/>
  <c r="AV17" i="34"/>
  <c r="AP17" i="34"/>
  <c r="AJ17" i="34"/>
  <c r="AF17" i="34"/>
  <c r="AD17" i="34"/>
  <c r="Z17" i="34"/>
  <c r="T17" i="34"/>
  <c r="P17" i="34"/>
  <c r="AO17" i="34"/>
  <c r="AY16" i="34"/>
  <c r="AV16" i="34"/>
  <c r="AP16" i="34"/>
  <c r="AL16" i="34"/>
  <c r="AJ16" i="34"/>
  <c r="AF16" i="34"/>
  <c r="AD16" i="34"/>
  <c r="Z16" i="34"/>
  <c r="T16" i="34"/>
  <c r="P16" i="34"/>
  <c r="AU16" i="34"/>
  <c r="AX15" i="34"/>
  <c r="AV15" i="34"/>
  <c r="AS15" i="34"/>
  <c r="AP15" i="34"/>
  <c r="AO15" i="34"/>
  <c r="AF15" i="34"/>
  <c r="AD15" i="34"/>
  <c r="AC15" i="34"/>
  <c r="X15" i="34"/>
  <c r="T15" i="34"/>
  <c r="P15" i="34"/>
  <c r="AT15" i="34" s="1"/>
  <c r="AL14" i="34"/>
  <c r="AI13" i="34"/>
  <c r="P13" i="34"/>
  <c r="AY13" i="34"/>
  <c r="AY12" i="34"/>
  <c r="AS11" i="34"/>
  <c r="AA11" i="34"/>
  <c r="AI11" i="34"/>
  <c r="AS10" i="34"/>
  <c r="AL10" i="34"/>
  <c r="AC10" i="34"/>
  <c r="U10" i="34"/>
  <c r="AU10" i="34"/>
  <c r="AI9" i="34"/>
  <c r="AA9" i="34"/>
  <c r="P9" i="34"/>
  <c r="AV9" i="34"/>
  <c r="AX8" i="34"/>
  <c r="AU8" i="34"/>
  <c r="AS8" i="34"/>
  <c r="AM8" i="34"/>
  <c r="AI8" i="34"/>
  <c r="AG8" i="34"/>
  <c r="AA8" i="34"/>
  <c r="W8" i="34"/>
  <c r="Q8" i="34"/>
  <c r="AY8" i="34"/>
  <c r="AX7" i="34"/>
  <c r="AO7" i="34"/>
  <c r="AD7" i="34"/>
  <c r="W7" i="34"/>
  <c r="AP7" i="34"/>
  <c r="AS6" i="34"/>
  <c r="AE16" i="34" l="1"/>
  <c r="AK30" i="34"/>
  <c r="AG15" i="34"/>
  <c r="AH15" i="34" s="1"/>
  <c r="AQ24" i="34"/>
  <c r="W6" i="34"/>
  <c r="AI6" i="34"/>
  <c r="AU6" i="34"/>
  <c r="Q7" i="34"/>
  <c r="R7" i="34" s="1"/>
  <c r="AA7" i="34"/>
  <c r="AI7" i="34"/>
  <c r="AS7" i="34"/>
  <c r="AC8" i="34"/>
  <c r="AO8" i="34"/>
  <c r="AC9" i="34"/>
  <c r="Q10" i="34"/>
  <c r="Z10" i="34"/>
  <c r="AG10" i="34"/>
  <c r="AO10" i="34"/>
  <c r="AX10" i="34"/>
  <c r="P11" i="34"/>
  <c r="AT11" i="34" s="1"/>
  <c r="AF11" i="34"/>
  <c r="AY11" i="34"/>
  <c r="AC12" i="34"/>
  <c r="AL12" i="34"/>
  <c r="AS12" i="34"/>
  <c r="AC13" i="34"/>
  <c r="T14" i="34"/>
  <c r="AF14" i="34"/>
  <c r="AP14" i="34"/>
  <c r="Z15" i="34"/>
  <c r="AJ15" i="34"/>
  <c r="AK15" i="34" s="1"/>
  <c r="AA16" i="34"/>
  <c r="AB16" i="34" s="1"/>
  <c r="AI16" i="34"/>
  <c r="AC17" i="34"/>
  <c r="X18" i="34"/>
  <c r="Y18" i="34" s="1"/>
  <c r="AI18" i="34"/>
  <c r="AX19" i="34"/>
  <c r="AO19" i="34"/>
  <c r="AC19" i="34"/>
  <c r="P19" i="34"/>
  <c r="AK19" i="34" s="1"/>
  <c r="AD19" i="34"/>
  <c r="AS19" i="34"/>
  <c r="P20" i="34"/>
  <c r="AB20" i="34" s="1"/>
  <c r="AF20" i="34"/>
  <c r="P21" i="34"/>
  <c r="AA22" i="34"/>
  <c r="Z23" i="34"/>
  <c r="Z25" i="34"/>
  <c r="AU26" i="34"/>
  <c r="AI26" i="34"/>
  <c r="X26" i="34"/>
  <c r="AA26" i="34"/>
  <c r="AP26" i="34"/>
  <c r="P28" i="34"/>
  <c r="AJ28" i="34"/>
  <c r="AJ31" i="34"/>
  <c r="AI34" i="34"/>
  <c r="AY40" i="34"/>
  <c r="AO40" i="34"/>
  <c r="AG40" i="34"/>
  <c r="Z40" i="34"/>
  <c r="Q40" i="34"/>
  <c r="R40" i="34" s="1"/>
  <c r="AU40" i="34"/>
  <c r="AL40" i="34"/>
  <c r="AC40" i="34"/>
  <c r="U40" i="34"/>
  <c r="AS40" i="34"/>
  <c r="AI40" i="34"/>
  <c r="AA40" i="34"/>
  <c r="AX40" i="34"/>
  <c r="AA6" i="34"/>
  <c r="AM6" i="34"/>
  <c r="AY6" i="34"/>
  <c r="U7" i="34"/>
  <c r="AC7" i="34"/>
  <c r="AL7" i="34"/>
  <c r="AU7" i="34"/>
  <c r="AF9" i="34"/>
  <c r="AY9" i="34"/>
  <c r="AZ9" i="34" s="1"/>
  <c r="AA10" i="34"/>
  <c r="AI10" i="34"/>
  <c r="AM10" i="34" s="1"/>
  <c r="AP10" i="34"/>
  <c r="AY10" i="34"/>
  <c r="U11" i="34"/>
  <c r="W12" i="34"/>
  <c r="AD12" i="34"/>
  <c r="AM12" i="34"/>
  <c r="AU12" i="34"/>
  <c r="AZ13" i="34"/>
  <c r="AF13" i="34"/>
  <c r="Z14" i="34"/>
  <c r="AI14" i="34"/>
  <c r="AU14" i="34"/>
  <c r="AY18" i="34"/>
  <c r="AZ18" i="34" s="1"/>
  <c r="AP18" i="34"/>
  <c r="AQ18" i="34" s="1"/>
  <c r="AF18" i="34"/>
  <c r="Z18" i="34"/>
  <c r="AA18" i="34"/>
  <c r="AB18" i="34" s="1"/>
  <c r="AV18" i="34"/>
  <c r="AW18" i="34" s="1"/>
  <c r="AP22" i="34"/>
  <c r="AF22" i="34"/>
  <c r="T22" i="34"/>
  <c r="AD22" i="34"/>
  <c r="AE22" i="34" s="1"/>
  <c r="AU22" i="34"/>
  <c r="AS23" i="34"/>
  <c r="AT23" i="34" s="1"/>
  <c r="AF23" i="34"/>
  <c r="X23" i="34"/>
  <c r="Y23" i="34" s="1"/>
  <c r="AC23" i="34"/>
  <c r="AP23" i="34"/>
  <c r="AQ23" i="34" s="1"/>
  <c r="AP25" i="34"/>
  <c r="AQ25" i="34" s="1"/>
  <c r="AC25" i="34"/>
  <c r="P25" i="34"/>
  <c r="AK25" i="34" s="1"/>
  <c r="AF25" i="34"/>
  <c r="AV25" i="34"/>
  <c r="AQ26" i="34"/>
  <c r="X28" i="34"/>
  <c r="AC6" i="34"/>
  <c r="AO6" i="34"/>
  <c r="AJ9" i="34"/>
  <c r="AK9" i="34" s="1"/>
  <c r="Z12" i="34"/>
  <c r="AG12" i="34"/>
  <c r="AO12" i="34"/>
  <c r="AP12" i="34" s="1"/>
  <c r="AX12" i="34"/>
  <c r="AA14" i="34"/>
  <c r="AJ14" i="34"/>
  <c r="AY14" i="34"/>
  <c r="AM16" i="34"/>
  <c r="AN16" i="34" s="1"/>
  <c r="AL31" i="34"/>
  <c r="AD31" i="34"/>
  <c r="P31" i="34"/>
  <c r="AK31" i="34" s="1"/>
  <c r="AV31" i="34"/>
  <c r="AI31" i="34"/>
  <c r="Z31" i="34"/>
  <c r="AU31" i="34"/>
  <c r="AF31" i="34"/>
  <c r="T31" i="34"/>
  <c r="AU34" i="34"/>
  <c r="AL34" i="34"/>
  <c r="AC34" i="34"/>
  <c r="Q34" i="34"/>
  <c r="U34" i="34" s="1"/>
  <c r="AY34" i="34"/>
  <c r="AP34" i="34"/>
  <c r="AG34" i="34"/>
  <c r="Z34" i="34"/>
  <c r="AX34" i="34"/>
  <c r="AO34" i="34"/>
  <c r="AD34" i="34"/>
  <c r="W34" i="34"/>
  <c r="Q6" i="34"/>
  <c r="X6" i="34" s="1"/>
  <c r="AG6" i="34"/>
  <c r="Z7" i="34"/>
  <c r="AG7" i="34"/>
  <c r="AS9" i="34"/>
  <c r="W10" i="34"/>
  <c r="AD10" i="34"/>
  <c r="AC11" i="34"/>
  <c r="AV11" i="34"/>
  <c r="Q12" i="34"/>
  <c r="R12" i="34" s="1"/>
  <c r="AA12" i="34"/>
  <c r="AI12" i="34"/>
  <c r="AA13" i="34"/>
  <c r="AB13" i="34" s="1"/>
  <c r="AV13" i="34"/>
  <c r="AW13" i="34" s="1"/>
  <c r="P14" i="34"/>
  <c r="AB14" i="34" s="1"/>
  <c r="AD14" i="34"/>
  <c r="T18" i="34"/>
  <c r="AE18" i="34"/>
  <c r="AL20" i="34"/>
  <c r="T20" i="34"/>
  <c r="AD20" i="34"/>
  <c r="AU20" i="34"/>
  <c r="AX21" i="34"/>
  <c r="AJ21" i="34"/>
  <c r="Z21" i="34"/>
  <c r="AD21" i="34"/>
  <c r="AV21" i="34"/>
  <c r="Z22" i="34"/>
  <c r="AJ22" i="34"/>
  <c r="AY22" i="34"/>
  <c r="AZ22" i="34" s="1"/>
  <c r="T23" i="34"/>
  <c r="AJ23" i="34"/>
  <c r="AK23" i="34" s="1"/>
  <c r="AX23" i="34"/>
  <c r="X25" i="34"/>
  <c r="AO25" i="34"/>
  <c r="AL28" i="34"/>
  <c r="AA28" i="34"/>
  <c r="AU28" i="34"/>
  <c r="AP28" i="34"/>
  <c r="AF28" i="34"/>
  <c r="T28" i="34"/>
  <c r="AI28" i="34"/>
  <c r="AA31" i="34"/>
  <c r="AA34" i="34"/>
  <c r="Z24" i="34"/>
  <c r="AJ24" i="34"/>
  <c r="Z27" i="34"/>
  <c r="AO27" i="34"/>
  <c r="AC30" i="34"/>
  <c r="AG30" i="34" s="1"/>
  <c r="AH30" i="34" s="1"/>
  <c r="AO30" i="34"/>
  <c r="Q32" i="34"/>
  <c r="R32" i="34" s="1"/>
  <c r="AC32" i="34"/>
  <c r="AL32" i="34"/>
  <c r="AU32" i="34"/>
  <c r="W36" i="34"/>
  <c r="AD36" i="34"/>
  <c r="AM36" i="34"/>
  <c r="AX36" i="34"/>
  <c r="AC37" i="34"/>
  <c r="Q38" i="34"/>
  <c r="X38" i="34" s="1"/>
  <c r="AD38" i="34"/>
  <c r="AM38" i="34"/>
  <c r="AU38" i="34"/>
  <c r="AS39" i="34"/>
  <c r="U42" i="34"/>
  <c r="AC42" i="34"/>
  <c r="AL42" i="34"/>
  <c r="AP42" i="34" s="1"/>
  <c r="AU42" i="34"/>
  <c r="W44" i="34"/>
  <c r="AD44" i="34"/>
  <c r="AM44" i="34"/>
  <c r="AX44" i="34"/>
  <c r="W46" i="34"/>
  <c r="AI46" i="34"/>
  <c r="AR46" i="34"/>
  <c r="AV46" i="34" s="1"/>
  <c r="W48" i="34"/>
  <c r="AJ48" i="34"/>
  <c r="AX48" i="34"/>
  <c r="T49" i="34"/>
  <c r="AR49" i="34"/>
  <c r="T50" i="34"/>
  <c r="T52" i="34"/>
  <c r="AI52" i="34"/>
  <c r="AR52" i="34"/>
  <c r="AO53" i="34"/>
  <c r="AI54" i="34"/>
  <c r="W32" i="34"/>
  <c r="AD32" i="34"/>
  <c r="AM32" i="34"/>
  <c r="AX32" i="34"/>
  <c r="Z36" i="34"/>
  <c r="AG36" i="34"/>
  <c r="AO36" i="34"/>
  <c r="AY36" i="34"/>
  <c r="AY37" i="34"/>
  <c r="W38" i="34"/>
  <c r="AA38" i="34" s="1"/>
  <c r="AG38" i="34"/>
  <c r="AO38" i="34"/>
  <c r="AX38" i="34"/>
  <c r="W42" i="34"/>
  <c r="AD42" i="34"/>
  <c r="AM42" i="34"/>
  <c r="Z44" i="34"/>
  <c r="AG44" i="34"/>
  <c r="AO44" i="34"/>
  <c r="AY44" i="34"/>
  <c r="Z46" i="34"/>
  <c r="AJ46" i="34"/>
  <c r="X48" i="34"/>
  <c r="AM48" i="34"/>
  <c r="AY48" i="34"/>
  <c r="AC49" i="34"/>
  <c r="AX49" i="34"/>
  <c r="AI50" i="34"/>
  <c r="W52" i="34"/>
  <c r="AJ52" i="34"/>
  <c r="AX52" i="34"/>
  <c r="AA44" i="34"/>
  <c r="AI44" i="34"/>
  <c r="AP44" i="34"/>
  <c r="AY46" i="34"/>
  <c r="AD48" i="34"/>
  <c r="AP48" i="34"/>
  <c r="AA32" i="34"/>
  <c r="AI32" i="34"/>
  <c r="AC36" i="34"/>
  <c r="AL36" i="34"/>
  <c r="AC38" i="34"/>
  <c r="AL38" i="34"/>
  <c r="Q44" i="34"/>
  <c r="R44" i="34" s="1"/>
  <c r="AC44" i="34"/>
  <c r="AL44" i="34"/>
  <c r="T48" i="34"/>
  <c r="AI48" i="34"/>
  <c r="AD52" i="34"/>
  <c r="Z6" i="34"/>
  <c r="AL6" i="34"/>
  <c r="AP6" i="34"/>
  <c r="AX6" i="34"/>
  <c r="P7" i="34"/>
  <c r="AB7" i="34" s="1"/>
  <c r="T7" i="34"/>
  <c r="X7" i="34" s="1"/>
  <c r="AF7" i="34"/>
  <c r="AJ7" i="34"/>
  <c r="AR7" i="34"/>
  <c r="AV7" i="34"/>
  <c r="AY7" i="34" s="1"/>
  <c r="R8" i="34"/>
  <c r="Z8" i="34"/>
  <c r="AD8" i="34"/>
  <c r="AL8" i="34"/>
  <c r="T9" i="34"/>
  <c r="AO9" i="34"/>
  <c r="AU9" i="34"/>
  <c r="T11" i="34"/>
  <c r="AJ11" i="34"/>
  <c r="AO11" i="34"/>
  <c r="AU11" i="34"/>
  <c r="T13" i="34"/>
  <c r="AJ13" i="34"/>
  <c r="AK13" i="34" s="1"/>
  <c r="AO13" i="34"/>
  <c r="AU13" i="34"/>
  <c r="Y15" i="34"/>
  <c r="AK21" i="34"/>
  <c r="AQ16" i="34"/>
  <c r="AZ16" i="34"/>
  <c r="AZ20" i="34"/>
  <c r="P6" i="34"/>
  <c r="AT6" i="34" s="1"/>
  <c r="T6" i="34"/>
  <c r="AF6" i="34"/>
  <c r="AJ6" i="34"/>
  <c r="AR6" i="34"/>
  <c r="AV6" i="34"/>
  <c r="AV8" i="34"/>
  <c r="P8" i="34"/>
  <c r="AZ8" i="34" s="1"/>
  <c r="T8" i="34"/>
  <c r="U8" i="34" s="1"/>
  <c r="AF8" i="34"/>
  <c r="AJ8" i="34"/>
  <c r="AR8" i="34"/>
  <c r="AX9" i="34"/>
  <c r="AT9" i="34"/>
  <c r="AP9" i="34"/>
  <c r="AQ9" i="34" s="1"/>
  <c r="AL9" i="34"/>
  <c r="AD9" i="34"/>
  <c r="AE9" i="34" s="1"/>
  <c r="Z9" i="34"/>
  <c r="Q9" i="34"/>
  <c r="W9" i="34"/>
  <c r="AB9" i="34"/>
  <c r="AG9" i="34"/>
  <c r="AH9" i="34" s="1"/>
  <c r="AM9" i="34"/>
  <c r="AN9" i="34" s="1"/>
  <c r="AR9" i="34"/>
  <c r="AW9" i="34"/>
  <c r="AX11" i="34"/>
  <c r="AL11" i="34"/>
  <c r="AD11" i="34"/>
  <c r="AE11" i="34" s="1"/>
  <c r="Z11" i="34"/>
  <c r="Q11" i="34"/>
  <c r="R11" i="34" s="1"/>
  <c r="S11" i="34" s="1"/>
  <c r="W11" i="34"/>
  <c r="AB11" i="34"/>
  <c r="AG11" i="34"/>
  <c r="AM11" i="34"/>
  <c r="AN11" i="34" s="1"/>
  <c r="AR11" i="34"/>
  <c r="AW11" i="34"/>
  <c r="AX13" i="34"/>
  <c r="AP13" i="34"/>
  <c r="AQ13" i="34" s="1"/>
  <c r="AL13" i="34"/>
  <c r="AD13" i="34"/>
  <c r="AE13" i="34" s="1"/>
  <c r="Z13" i="34"/>
  <c r="Q13" i="34"/>
  <c r="R13" i="34" s="1"/>
  <c r="S13" i="34" s="1"/>
  <c r="W13" i="34"/>
  <c r="AG13" i="34"/>
  <c r="AH13" i="34" s="1"/>
  <c r="AM13" i="34"/>
  <c r="AN13" i="34" s="1"/>
  <c r="AR13" i="34"/>
  <c r="AK17" i="34"/>
  <c r="AT19" i="34"/>
  <c r="AQ22" i="34"/>
  <c r="P10" i="34"/>
  <c r="AB10" i="34" s="1"/>
  <c r="T10" i="34"/>
  <c r="AF10" i="34"/>
  <c r="AJ10" i="34"/>
  <c r="AR10" i="34"/>
  <c r="AV10" i="34"/>
  <c r="P12" i="34"/>
  <c r="AB12" i="34" s="1"/>
  <c r="T12" i="34"/>
  <c r="U12" i="34" s="1"/>
  <c r="AF12" i="34"/>
  <c r="AJ12" i="34"/>
  <c r="AR12" i="34"/>
  <c r="AV12" i="34"/>
  <c r="AS14" i="34"/>
  <c r="AT14" i="34" s="1"/>
  <c r="AO14" i="34"/>
  <c r="AK14" i="34"/>
  <c r="AG14" i="34"/>
  <c r="AC14" i="34"/>
  <c r="Q14" i="34"/>
  <c r="R14" i="34" s="1"/>
  <c r="W14" i="34"/>
  <c r="X14" i="34" s="1"/>
  <c r="AM14" i="34"/>
  <c r="AN14" i="34" s="1"/>
  <c r="AR14" i="34"/>
  <c r="AX14" i="34"/>
  <c r="AY15" i="34"/>
  <c r="AZ15" i="34" s="1"/>
  <c r="AU15" i="34"/>
  <c r="AQ15" i="34"/>
  <c r="AM15" i="34"/>
  <c r="AN15" i="34" s="1"/>
  <c r="AI15" i="34"/>
  <c r="AE15" i="34"/>
  <c r="AA15" i="34"/>
  <c r="AB15" i="34" s="1"/>
  <c r="W15" i="34"/>
  <c r="Q15" i="34"/>
  <c r="R15" i="34" s="1"/>
  <c r="S15" i="34" s="1"/>
  <c r="AL15" i="34"/>
  <c r="AR15" i="34"/>
  <c r="AW15" i="34"/>
  <c r="AW16" i="34"/>
  <c r="AS16" i="34"/>
  <c r="AT16" i="34" s="1"/>
  <c r="AO16" i="34"/>
  <c r="AK16" i="34"/>
  <c r="AG16" i="34"/>
  <c r="AH16" i="34" s="1"/>
  <c r="AC16" i="34"/>
  <c r="U16" i="34"/>
  <c r="V16" i="34" s="1"/>
  <c r="Q16" i="34"/>
  <c r="R16" i="34" s="1"/>
  <c r="S16" i="34" s="1"/>
  <c r="W16" i="34"/>
  <c r="X16" i="34" s="1"/>
  <c r="Y16" i="34" s="1"/>
  <c r="AR16" i="34"/>
  <c r="AX16" i="34"/>
  <c r="AY17" i="34"/>
  <c r="AZ17" i="34" s="1"/>
  <c r="AU17" i="34"/>
  <c r="AQ17" i="34"/>
  <c r="AM17" i="34"/>
  <c r="AN17" i="34" s="1"/>
  <c r="AI17" i="34"/>
  <c r="AE17" i="34"/>
  <c r="AA17" i="34"/>
  <c r="AB17" i="34" s="1"/>
  <c r="W17" i="34"/>
  <c r="X17" i="34" s="1"/>
  <c r="Y17" i="34" s="1"/>
  <c r="Q17" i="34"/>
  <c r="AG17" i="34"/>
  <c r="AH17" i="34" s="1"/>
  <c r="AL17" i="34"/>
  <c r="AR17" i="34"/>
  <c r="AS17" i="34" s="1"/>
  <c r="AT17" i="34" s="1"/>
  <c r="AW17" i="34"/>
  <c r="AS18" i="34"/>
  <c r="AT18" i="34" s="1"/>
  <c r="AO18" i="34"/>
  <c r="AG18" i="34"/>
  <c r="AH18" i="34" s="1"/>
  <c r="AC18" i="34"/>
  <c r="Q18" i="34"/>
  <c r="R18" i="34" s="1"/>
  <c r="S18" i="34" s="1"/>
  <c r="W18" i="34"/>
  <c r="AM18" i="34"/>
  <c r="AN18" i="34" s="1"/>
  <c r="AR18" i="34"/>
  <c r="AX18" i="34"/>
  <c r="AY19" i="34"/>
  <c r="AZ19" i="34" s="1"/>
  <c r="AU19" i="34"/>
  <c r="AI19" i="34"/>
  <c r="AE19" i="34"/>
  <c r="AA19" i="34"/>
  <c r="AB19" i="34" s="1"/>
  <c r="W19" i="34"/>
  <c r="X19" i="34" s="1"/>
  <c r="Q19" i="34"/>
  <c r="R19" i="34" s="1"/>
  <c r="S19" i="34" s="1"/>
  <c r="V19" i="34"/>
  <c r="AG19" i="34"/>
  <c r="AH19" i="34" s="1"/>
  <c r="AL19" i="34"/>
  <c r="AR19" i="34"/>
  <c r="AW19" i="34"/>
  <c r="AS20" i="34"/>
  <c r="AO20" i="34"/>
  <c r="AK20" i="34"/>
  <c r="AG20" i="34"/>
  <c r="AC20" i="34"/>
  <c r="U20" i="34"/>
  <c r="V20" i="34" s="1"/>
  <c r="Q20" i="34"/>
  <c r="R20" i="34" s="1"/>
  <c r="S20" i="34" s="1"/>
  <c r="W20" i="34"/>
  <c r="AM20" i="34"/>
  <c r="AR20" i="34"/>
  <c r="AX20" i="34"/>
  <c r="AY21" i="34"/>
  <c r="AU21" i="34"/>
  <c r="AQ21" i="34"/>
  <c r="AM21" i="34"/>
  <c r="AN21" i="34" s="1"/>
  <c r="AI21" i="34"/>
  <c r="AA21" i="34"/>
  <c r="AB21" i="34" s="1"/>
  <c r="W21" i="34"/>
  <c r="X21" i="34" s="1"/>
  <c r="Y21" i="34" s="1"/>
  <c r="Q21" i="34"/>
  <c r="AG21" i="34"/>
  <c r="AL21" i="34"/>
  <c r="AR21" i="34"/>
  <c r="AS21" i="34" s="1"/>
  <c r="AT21" i="34" s="1"/>
  <c r="AW22" i="34"/>
  <c r="AO22" i="34"/>
  <c r="AK22" i="34"/>
  <c r="AG22" i="34"/>
  <c r="AH22" i="34" s="1"/>
  <c r="AC22" i="34"/>
  <c r="Q22" i="34"/>
  <c r="R22" i="34" s="1"/>
  <c r="S22" i="34" s="1"/>
  <c r="W22" i="34"/>
  <c r="X22" i="34" s="1"/>
  <c r="Y22" i="34" s="1"/>
  <c r="AB22" i="34"/>
  <c r="AM22" i="34"/>
  <c r="AN22" i="34" s="1"/>
  <c r="AR22" i="34"/>
  <c r="AS22" i="34" s="1"/>
  <c r="AT22" i="34" s="1"/>
  <c r="AX22" i="34"/>
  <c r="AY23" i="34"/>
  <c r="AZ23" i="34" s="1"/>
  <c r="AU23" i="34"/>
  <c r="AM23" i="34"/>
  <c r="AN23" i="34" s="1"/>
  <c r="AI23" i="34"/>
  <c r="AE23" i="34"/>
  <c r="W23" i="34"/>
  <c r="Q23" i="34"/>
  <c r="AG23" i="34"/>
  <c r="AH23" i="34" s="1"/>
  <c r="AL23" i="34"/>
  <c r="AR23" i="34"/>
  <c r="AW23" i="34"/>
  <c r="AW24" i="34"/>
  <c r="AS24" i="34"/>
  <c r="AT24" i="34" s="1"/>
  <c r="AO24" i="34"/>
  <c r="AK24" i="34"/>
  <c r="AG24" i="34"/>
  <c r="AH24" i="34" s="1"/>
  <c r="AC24" i="34"/>
  <c r="Y24" i="34"/>
  <c r="Q24" i="34"/>
  <c r="R24" i="34" s="1"/>
  <c r="S24" i="34" s="1"/>
  <c r="W24" i="34"/>
  <c r="AM24" i="34"/>
  <c r="AN24" i="34" s="1"/>
  <c r="AR24" i="34"/>
  <c r="AX24" i="34"/>
  <c r="AY25" i="34"/>
  <c r="AZ25" i="34" s="1"/>
  <c r="AU25" i="34"/>
  <c r="AM25" i="34"/>
  <c r="AN25" i="34" s="1"/>
  <c r="AI25" i="34"/>
  <c r="AA25" i="34"/>
  <c r="AB25" i="34" s="1"/>
  <c r="W25" i="34"/>
  <c r="Q25" i="34"/>
  <c r="AG25" i="34"/>
  <c r="AH25" i="34" s="1"/>
  <c r="AL25" i="34"/>
  <c r="AR25" i="34"/>
  <c r="AW26" i="34"/>
  <c r="AS26" i="34"/>
  <c r="AT26" i="34" s="1"/>
  <c r="AO26" i="34"/>
  <c r="AK26" i="34"/>
  <c r="AG26" i="34"/>
  <c r="AH26" i="34" s="1"/>
  <c r="AC26" i="34"/>
  <c r="AD26" i="34" s="1"/>
  <c r="AE26" i="34" s="1"/>
  <c r="Y26" i="34"/>
  <c r="Q26" i="34"/>
  <c r="R26" i="34" s="1"/>
  <c r="S26" i="34" s="1"/>
  <c r="W26" i="34"/>
  <c r="AB26" i="34"/>
  <c r="AM26" i="34"/>
  <c r="AN26" i="34" s="1"/>
  <c r="AR26" i="34"/>
  <c r="AX26" i="34"/>
  <c r="AY27" i="34"/>
  <c r="AZ27" i="34" s="1"/>
  <c r="AU27" i="34"/>
  <c r="AQ27" i="34"/>
  <c r="AM27" i="34"/>
  <c r="AN27" i="34" s="1"/>
  <c r="AI27" i="34"/>
  <c r="AJ27" i="34" s="1"/>
  <c r="AK27" i="34" s="1"/>
  <c r="AE27" i="34"/>
  <c r="AA27" i="34"/>
  <c r="AB27" i="34" s="1"/>
  <c r="W27" i="34"/>
  <c r="X27" i="34" s="1"/>
  <c r="Y27" i="34" s="1"/>
  <c r="Q27" i="34"/>
  <c r="R27" i="34" s="1"/>
  <c r="S27" i="34" s="1"/>
  <c r="V27" i="34"/>
  <c r="AG27" i="34"/>
  <c r="AH27" i="34" s="1"/>
  <c r="AL27" i="34"/>
  <c r="AR27" i="34"/>
  <c r="AW27" i="34"/>
  <c r="AW28" i="34"/>
  <c r="AS28" i="34"/>
  <c r="AT28" i="34" s="1"/>
  <c r="AO28" i="34"/>
  <c r="AK28" i="34"/>
  <c r="AG28" i="34"/>
  <c r="AH28" i="34" s="1"/>
  <c r="AC28" i="34"/>
  <c r="AD28" i="34" s="1"/>
  <c r="AE28" i="34" s="1"/>
  <c r="U28" i="34"/>
  <c r="Q28" i="34"/>
  <c r="R28" i="34" s="1"/>
  <c r="S28" i="34" s="1"/>
  <c r="W28" i="34"/>
  <c r="AM28" i="34"/>
  <c r="AN28" i="34" s="1"/>
  <c r="AR28" i="34"/>
  <c r="AX28" i="34"/>
  <c r="AY28" i="34" s="1"/>
  <c r="AZ28" i="34" s="1"/>
  <c r="AY30" i="34"/>
  <c r="AZ30" i="34" s="1"/>
  <c r="AU30" i="34"/>
  <c r="AQ30" i="34"/>
  <c r="AM30" i="34"/>
  <c r="AN30" i="34" s="1"/>
  <c r="AI30" i="34"/>
  <c r="AE30" i="34"/>
  <c r="AA30" i="34"/>
  <c r="AB30" i="34" s="1"/>
  <c r="W30" i="34"/>
  <c r="Q30" i="34"/>
  <c r="AL30" i="34"/>
  <c r="AR30" i="34"/>
  <c r="AW30" i="34"/>
  <c r="AS31" i="34"/>
  <c r="AO31" i="34"/>
  <c r="AP31" i="34" s="1"/>
  <c r="AQ31" i="34" s="1"/>
  <c r="AG31" i="34"/>
  <c r="AH31" i="34" s="1"/>
  <c r="AC31" i="34"/>
  <c r="U31" i="34"/>
  <c r="Q31" i="34"/>
  <c r="R31" i="34" s="1"/>
  <c r="W31" i="34"/>
  <c r="X31" i="34" s="1"/>
  <c r="Y31" i="34" s="1"/>
  <c r="AM31" i="34"/>
  <c r="AR31" i="34"/>
  <c r="AX31" i="34"/>
  <c r="AC33" i="34"/>
  <c r="AI33" i="34"/>
  <c r="AS33" i="34"/>
  <c r="AY33" i="34"/>
  <c r="AC35" i="34"/>
  <c r="AR35" i="34"/>
  <c r="AY35" i="34"/>
  <c r="P37" i="34"/>
  <c r="AZ37" i="34" s="1"/>
  <c r="W37" i="34"/>
  <c r="AG37" i="34"/>
  <c r="AR37" i="34"/>
  <c r="AC39" i="34"/>
  <c r="Q41" i="34"/>
  <c r="R41" i="34" s="1"/>
  <c r="AI43" i="34"/>
  <c r="T33" i="34"/>
  <c r="AO33" i="34"/>
  <c r="AU33" i="34"/>
  <c r="T35" i="34"/>
  <c r="AF35" i="34"/>
  <c r="AM35" i="34"/>
  <c r="AS35" i="34"/>
  <c r="Q37" i="34"/>
  <c r="R37" i="34" s="1"/>
  <c r="AX39" i="34"/>
  <c r="AP39" i="34"/>
  <c r="AL39" i="34"/>
  <c r="AD39" i="34"/>
  <c r="Z39" i="34"/>
  <c r="AV39" i="34"/>
  <c r="AF39" i="34"/>
  <c r="AA39" i="34"/>
  <c r="P39" i="34"/>
  <c r="AU39" i="34"/>
  <c r="AO39" i="34"/>
  <c r="AJ39" i="34"/>
  <c r="T39" i="34"/>
  <c r="U39" i="34" s="1"/>
  <c r="W39" i="34"/>
  <c r="AR39" i="34"/>
  <c r="AC41" i="34"/>
  <c r="Q43" i="34"/>
  <c r="R43" i="34" s="1"/>
  <c r="AM43" i="34"/>
  <c r="AE24" i="34"/>
  <c r="AZ24" i="34"/>
  <c r="AT25" i="34"/>
  <c r="U26" i="34"/>
  <c r="V26" i="34" s="1"/>
  <c r="AZ26" i="34"/>
  <c r="AT27" i="34"/>
  <c r="AT30" i="34"/>
  <c r="AE31" i="34"/>
  <c r="AZ31" i="34"/>
  <c r="P33" i="34"/>
  <c r="AA33" i="34"/>
  <c r="AF33" i="34"/>
  <c r="P35" i="34"/>
  <c r="AZ35" i="34" s="1"/>
  <c r="AA35" i="34"/>
  <c r="AG35" i="34"/>
  <c r="AX37" i="34"/>
  <c r="AP37" i="34"/>
  <c r="AL37" i="34"/>
  <c r="AD37" i="34"/>
  <c r="AE37" i="34" s="1"/>
  <c r="Z37" i="34"/>
  <c r="AV37" i="34"/>
  <c r="AF37" i="34"/>
  <c r="AA37" i="34"/>
  <c r="AB37" i="34" s="1"/>
  <c r="AU37" i="34"/>
  <c r="AO37" i="34"/>
  <c r="AJ37" i="34"/>
  <c r="T37" i="34"/>
  <c r="AM37" i="34"/>
  <c r="X39" i="34"/>
  <c r="AX41" i="34"/>
  <c r="AP41" i="34"/>
  <c r="AL41" i="34"/>
  <c r="AM41" i="34" s="1"/>
  <c r="AD41" i="34"/>
  <c r="Z41" i="34"/>
  <c r="AV41" i="34"/>
  <c r="AF41" i="34"/>
  <c r="AA41" i="34"/>
  <c r="U41" i="34"/>
  <c r="P41" i="34"/>
  <c r="AU41" i="34"/>
  <c r="AO41" i="34"/>
  <c r="AJ41" i="34"/>
  <c r="T41" i="34"/>
  <c r="W41" i="34"/>
  <c r="AG41" i="34"/>
  <c r="AR41" i="34"/>
  <c r="AC43" i="34"/>
  <c r="V28" i="34"/>
  <c r="V31" i="34"/>
  <c r="AX33" i="34"/>
  <c r="AP33" i="34"/>
  <c r="AL33" i="34"/>
  <c r="AH33" i="34"/>
  <c r="AD33" i="34"/>
  <c r="Z33" i="34"/>
  <c r="Q33" i="34"/>
  <c r="W33" i="34"/>
  <c r="AG33" i="34"/>
  <c r="AM33" i="34"/>
  <c r="AR33" i="34"/>
  <c r="AX35" i="34"/>
  <c r="AL35" i="34"/>
  <c r="AD35" i="34"/>
  <c r="AU35" i="34"/>
  <c r="AO35" i="34"/>
  <c r="AJ35" i="34"/>
  <c r="Z35" i="34"/>
  <c r="Q35" i="34"/>
  <c r="R35" i="34" s="1"/>
  <c r="W35" i="34"/>
  <c r="AI35" i="34"/>
  <c r="AX43" i="34"/>
  <c r="AP43" i="34"/>
  <c r="AL43" i="34"/>
  <c r="AD43" i="34"/>
  <c r="Z43" i="34"/>
  <c r="AY43" i="34"/>
  <c r="AV43" i="34"/>
  <c r="AF43" i="34"/>
  <c r="AA43" i="34"/>
  <c r="P43" i="34"/>
  <c r="AU43" i="34"/>
  <c r="AO43" i="34"/>
  <c r="AJ43" i="34"/>
  <c r="T43" i="34"/>
  <c r="U43" i="34" s="1"/>
  <c r="W43" i="34"/>
  <c r="AG43" i="34"/>
  <c r="AR43" i="34"/>
  <c r="P32" i="34"/>
  <c r="AN32" i="34" s="1"/>
  <c r="T32" i="34"/>
  <c r="U32" i="34" s="1"/>
  <c r="AF32" i="34"/>
  <c r="AJ32" i="34"/>
  <c r="AR32" i="34"/>
  <c r="AS32" i="34" s="1"/>
  <c r="AV32" i="34"/>
  <c r="P34" i="34"/>
  <c r="T34" i="34"/>
  <c r="X34" i="34" s="1"/>
  <c r="AB34" i="34"/>
  <c r="AF34" i="34"/>
  <c r="AJ34" i="34"/>
  <c r="AR34" i="34"/>
  <c r="AV34" i="34"/>
  <c r="T45" i="34"/>
  <c r="AJ45" i="34"/>
  <c r="AO45" i="34"/>
  <c r="AU45" i="34"/>
  <c r="T47" i="34"/>
  <c r="AO47" i="34"/>
  <c r="AS48" i="34"/>
  <c r="AO48" i="34"/>
  <c r="AG48" i="34"/>
  <c r="AC48" i="34"/>
  <c r="Q48" i="34"/>
  <c r="R48" i="34" s="1"/>
  <c r="AL48" i="34"/>
  <c r="AF48" i="34"/>
  <c r="P48" i="34"/>
  <c r="Y48" i="34" s="1"/>
  <c r="Z48" i="34"/>
  <c r="AU48" i="34"/>
  <c r="AV48" i="34" s="1"/>
  <c r="Q49" i="34"/>
  <c r="R49" i="34" s="1"/>
  <c r="X49" i="34"/>
  <c r="AD49" i="34"/>
  <c r="AL49" i="34"/>
  <c r="AS49" i="34"/>
  <c r="W50" i="34"/>
  <c r="AD50" i="34"/>
  <c r="AJ50" i="34"/>
  <c r="AR50" i="34"/>
  <c r="AY50" i="34"/>
  <c r="T51" i="34"/>
  <c r="AO51" i="34"/>
  <c r="AS52" i="34"/>
  <c r="AO52" i="34"/>
  <c r="AC52" i="34"/>
  <c r="U52" i="34"/>
  <c r="Q52" i="34"/>
  <c r="R52" i="34" s="1"/>
  <c r="AV52" i="34"/>
  <c r="AL52" i="34"/>
  <c r="AF52" i="34"/>
  <c r="AA52" i="34"/>
  <c r="P52" i="34"/>
  <c r="AK52" i="34" s="1"/>
  <c r="Z52" i="34"/>
  <c r="AU52" i="34"/>
  <c r="P45" i="34"/>
  <c r="AA45" i="34"/>
  <c r="AF45" i="34"/>
  <c r="AC47" i="34"/>
  <c r="AJ47" i="34"/>
  <c r="AR47" i="34"/>
  <c r="AX47" i="34"/>
  <c r="AY49" i="34"/>
  <c r="AU49" i="34"/>
  <c r="AM49" i="34"/>
  <c r="AI49" i="34"/>
  <c r="W49" i="34"/>
  <c r="AP49" i="34"/>
  <c r="AF49" i="34"/>
  <c r="Z49" i="34"/>
  <c r="P49" i="34"/>
  <c r="AG49" i="34"/>
  <c r="X50" i="34"/>
  <c r="AM50" i="34"/>
  <c r="AC51" i="34"/>
  <c r="AJ51" i="34"/>
  <c r="AR51" i="34"/>
  <c r="AX51" i="34"/>
  <c r="AX45" i="34"/>
  <c r="AP45" i="34"/>
  <c r="AL45" i="34"/>
  <c r="AD45" i="34"/>
  <c r="Z45" i="34"/>
  <c r="Q45" i="34"/>
  <c r="R45" i="34" s="1"/>
  <c r="W45" i="34"/>
  <c r="AG45" i="34"/>
  <c r="AM45" i="34"/>
  <c r="AR45" i="34"/>
  <c r="Q47" i="34"/>
  <c r="R47" i="34" s="1"/>
  <c r="AD47" i="34"/>
  <c r="AL47" i="34"/>
  <c r="AS47" i="34"/>
  <c r="AS50" i="34"/>
  <c r="AO50" i="34"/>
  <c r="AG50" i="34"/>
  <c r="AC50" i="34"/>
  <c r="Q50" i="34"/>
  <c r="R50" i="34" s="1"/>
  <c r="AV50" i="34"/>
  <c r="AL50" i="34"/>
  <c r="AF50" i="34"/>
  <c r="P50" i="34"/>
  <c r="Z50" i="34"/>
  <c r="AU50" i="34"/>
  <c r="Q51" i="34"/>
  <c r="R51" i="34" s="1"/>
  <c r="X51" i="34"/>
  <c r="AL51" i="34"/>
  <c r="AS51" i="34"/>
  <c r="AC45" i="34"/>
  <c r="AI45" i="34"/>
  <c r="AY45" i="34"/>
  <c r="AY47" i="34"/>
  <c r="AU47" i="34"/>
  <c r="AM47" i="34"/>
  <c r="AI47" i="34"/>
  <c r="AA47" i="34"/>
  <c r="W47" i="34"/>
  <c r="X47" i="34" s="1"/>
  <c r="AV47" i="34"/>
  <c r="AF47" i="34"/>
  <c r="Z47" i="34"/>
  <c r="P47" i="34"/>
  <c r="AT47" i="34" s="1"/>
  <c r="AG47" i="34"/>
  <c r="AY51" i="34"/>
  <c r="AU51" i="34"/>
  <c r="AM51" i="34"/>
  <c r="AI51" i="34"/>
  <c r="AA51" i="34"/>
  <c r="W51" i="34"/>
  <c r="AV51" i="34"/>
  <c r="AP51" i="34"/>
  <c r="AF51" i="34"/>
  <c r="Z51" i="34"/>
  <c r="P51" i="34"/>
  <c r="AG51" i="34"/>
  <c r="P36" i="34"/>
  <c r="T36" i="34"/>
  <c r="U36" i="34" s="1"/>
  <c r="AF36" i="34"/>
  <c r="AJ36" i="34"/>
  <c r="AR36" i="34"/>
  <c r="AV36" i="34"/>
  <c r="P38" i="34"/>
  <c r="T38" i="34"/>
  <c r="U38" i="34" s="1"/>
  <c r="AF38" i="34"/>
  <c r="AJ38" i="34"/>
  <c r="AR38" i="34"/>
  <c r="AV38" i="34"/>
  <c r="P40" i="34"/>
  <c r="AZ40" i="34" s="1"/>
  <c r="T40" i="34"/>
  <c r="X40" i="34" s="1"/>
  <c r="AF40" i="34"/>
  <c r="AJ40" i="34"/>
  <c r="AR40" i="34"/>
  <c r="AV40" i="34"/>
  <c r="P42" i="34"/>
  <c r="AZ42" i="34" s="1"/>
  <c r="T42" i="34"/>
  <c r="X42" i="34" s="1"/>
  <c r="AF42" i="34"/>
  <c r="AJ42" i="34"/>
  <c r="AR42" i="34"/>
  <c r="AV42" i="34"/>
  <c r="P44" i="34"/>
  <c r="T44" i="34"/>
  <c r="U44" i="34" s="1"/>
  <c r="AF44" i="34"/>
  <c r="AJ44" i="34"/>
  <c r="AR44" i="34"/>
  <c r="AS44" i="34" s="1"/>
  <c r="AV44" i="34"/>
  <c r="AS46" i="34"/>
  <c r="AO46" i="34"/>
  <c r="AG46" i="34"/>
  <c r="P46" i="34"/>
  <c r="T46" i="34"/>
  <c r="U46" i="34" s="1"/>
  <c r="X46" i="34"/>
  <c r="AF46" i="34"/>
  <c r="AL46" i="34"/>
  <c r="P53" i="34"/>
  <c r="U53" i="34"/>
  <c r="Z53" i="34"/>
  <c r="AF53" i="34"/>
  <c r="AP53" i="34"/>
  <c r="P54" i="34"/>
  <c r="AW54" i="34" s="1"/>
  <c r="AA54" i="34"/>
  <c r="AF54" i="34"/>
  <c r="AJ54" i="34" s="1"/>
  <c r="AL54" i="34"/>
  <c r="AQ54" i="34"/>
  <c r="AY53" i="34"/>
  <c r="AU53" i="34"/>
  <c r="AM53" i="34"/>
  <c r="AI53" i="34"/>
  <c r="AA53" i="34"/>
  <c r="W53" i="34"/>
  <c r="X53" i="34" s="1"/>
  <c r="Q53" i="34"/>
  <c r="R53" i="34" s="1"/>
  <c r="S53" i="34" s="1"/>
  <c r="AG53" i="34"/>
  <c r="AL53" i="34"/>
  <c r="AR53" i="34"/>
  <c r="AS54" i="34"/>
  <c r="AO54" i="34"/>
  <c r="AG54" i="34"/>
  <c r="AC54" i="34"/>
  <c r="U54" i="34"/>
  <c r="Q54" i="34"/>
  <c r="R54" i="34" s="1"/>
  <c r="W54" i="34"/>
  <c r="X54" i="34" s="1"/>
  <c r="AM54" i="34"/>
  <c r="AR54" i="34"/>
  <c r="AX54" i="34"/>
  <c r="H54" i="33"/>
  <c r="F54" i="33"/>
  <c r="H53" i="33"/>
  <c r="F53" i="33"/>
  <c r="H52" i="33"/>
  <c r="Z52" i="33" s="1"/>
  <c r="F52" i="33"/>
  <c r="AX51" i="33"/>
  <c r="AC51" i="33"/>
  <c r="H51" i="33"/>
  <c r="R51" i="33" s="1"/>
  <c r="F51" i="33"/>
  <c r="H50" i="33"/>
  <c r="F50" i="33"/>
  <c r="H49" i="33"/>
  <c r="F49" i="33"/>
  <c r="H48" i="33"/>
  <c r="AF48" i="33" s="1"/>
  <c r="F48" i="33"/>
  <c r="H47" i="33"/>
  <c r="F47" i="33"/>
  <c r="H46" i="33"/>
  <c r="F46" i="33"/>
  <c r="H45" i="33"/>
  <c r="F45" i="33"/>
  <c r="H44" i="33"/>
  <c r="F44" i="33"/>
  <c r="H43" i="33"/>
  <c r="F43" i="33"/>
  <c r="H42" i="33"/>
  <c r="F42" i="33"/>
  <c r="H41" i="33"/>
  <c r="F41" i="33"/>
  <c r="AX40" i="33"/>
  <c r="H40" i="33"/>
  <c r="W40" i="33" s="1"/>
  <c r="F40" i="33"/>
  <c r="H39" i="33"/>
  <c r="F39" i="33"/>
  <c r="H38" i="33"/>
  <c r="F38" i="33"/>
  <c r="H37" i="33"/>
  <c r="AR37" i="33" s="1"/>
  <c r="F37" i="33"/>
  <c r="H36" i="33"/>
  <c r="V36" i="33" s="1"/>
  <c r="F36" i="33"/>
  <c r="H35" i="33"/>
  <c r="F35" i="33"/>
  <c r="H34" i="33"/>
  <c r="F34" i="33"/>
  <c r="H33" i="33"/>
  <c r="F33" i="33"/>
  <c r="H32" i="33"/>
  <c r="H31" i="33"/>
  <c r="F31" i="33"/>
  <c r="H30" i="33"/>
  <c r="F30" i="33"/>
  <c r="AE28" i="33"/>
  <c r="H28" i="33"/>
  <c r="AX28" i="33" s="1"/>
  <c r="F28" i="33"/>
  <c r="AQ27" i="33"/>
  <c r="AN27" i="33"/>
  <c r="AB27" i="33"/>
  <c r="W27" i="33"/>
  <c r="H27" i="33"/>
  <c r="BA27" i="33" s="1"/>
  <c r="F27" i="33"/>
  <c r="H26" i="33"/>
  <c r="BA26" i="33" s="1"/>
  <c r="F26" i="33"/>
  <c r="H25" i="33"/>
  <c r="AX25" i="33" s="1"/>
  <c r="F25" i="33"/>
  <c r="H24" i="33"/>
  <c r="BA24" i="33" s="1"/>
  <c r="F24" i="33"/>
  <c r="H23" i="33"/>
  <c r="AX23" i="33" s="1"/>
  <c r="F23" i="33"/>
  <c r="AZ22" i="33"/>
  <c r="AF22" i="33"/>
  <c r="AC22" i="33"/>
  <c r="H22" i="33"/>
  <c r="AO22" i="33" s="1"/>
  <c r="F22" i="33"/>
  <c r="H21" i="33"/>
  <c r="AX21" i="33" s="1"/>
  <c r="F21" i="33"/>
  <c r="AN20" i="33"/>
  <c r="AB20" i="33"/>
  <c r="H20" i="33"/>
  <c r="AW20" i="33" s="1"/>
  <c r="F20" i="33"/>
  <c r="H19" i="33"/>
  <c r="AX19" i="33" s="1"/>
  <c r="F19" i="33"/>
  <c r="AO18" i="33"/>
  <c r="AC18" i="33"/>
  <c r="H18" i="33"/>
  <c r="AW18" i="33" s="1"/>
  <c r="F18" i="33"/>
  <c r="H17" i="33"/>
  <c r="AX17" i="33" s="1"/>
  <c r="F17" i="33"/>
  <c r="AN16" i="33"/>
  <c r="AB16" i="33"/>
  <c r="H16" i="33"/>
  <c r="AW16" i="33" s="1"/>
  <c r="F16" i="33"/>
  <c r="H15" i="33"/>
  <c r="AX15" i="33" s="1"/>
  <c r="F15" i="33"/>
  <c r="AO14" i="33"/>
  <c r="AC14" i="33"/>
  <c r="H14" i="33"/>
  <c r="AW14" i="33" s="1"/>
  <c r="F14" i="33"/>
  <c r="H13" i="33"/>
  <c r="AX13" i="33" s="1"/>
  <c r="F13" i="33"/>
  <c r="AQ12" i="33"/>
  <c r="AB12" i="33"/>
  <c r="H12" i="33"/>
  <c r="AZ12" i="33" s="1"/>
  <c r="F12" i="33"/>
  <c r="H11" i="33"/>
  <c r="AX11" i="33" s="1"/>
  <c r="F11" i="33"/>
  <c r="AQ10" i="33"/>
  <c r="Y10" i="33"/>
  <c r="H10" i="33"/>
  <c r="AW10" i="33" s="1"/>
  <c r="F10" i="33"/>
  <c r="H9" i="33"/>
  <c r="AX9" i="33" s="1"/>
  <c r="F9" i="33"/>
  <c r="AO8" i="33"/>
  <c r="Y8" i="33"/>
  <c r="H8" i="33"/>
  <c r="AW8" i="33" s="1"/>
  <c r="F8" i="33"/>
  <c r="H7" i="33"/>
  <c r="AX7" i="33" s="1"/>
  <c r="BA7" i="33" s="1"/>
  <c r="F7" i="33"/>
  <c r="H6" i="33"/>
  <c r="BA6" i="33" s="1"/>
  <c r="F6" i="33"/>
  <c r="AR31" i="32"/>
  <c r="H54" i="32"/>
  <c r="F54" i="32"/>
  <c r="H53" i="32"/>
  <c r="AF53" i="32" s="1"/>
  <c r="F53" i="32"/>
  <c r="H52" i="32"/>
  <c r="BA52" i="32" s="1"/>
  <c r="F52" i="32"/>
  <c r="H51" i="32"/>
  <c r="AR51" i="32" s="1"/>
  <c r="F51" i="32"/>
  <c r="H50" i="32"/>
  <c r="AW50" i="32" s="1"/>
  <c r="F50" i="32"/>
  <c r="H49" i="32"/>
  <c r="AR49" i="32" s="1"/>
  <c r="F49" i="32"/>
  <c r="H48" i="32"/>
  <c r="AZ48" i="32" s="1"/>
  <c r="F48" i="32"/>
  <c r="H47" i="32"/>
  <c r="AH47" i="32" s="1"/>
  <c r="F47" i="32"/>
  <c r="H46" i="32"/>
  <c r="AT46" i="32" s="1"/>
  <c r="F46" i="32"/>
  <c r="AR45" i="32"/>
  <c r="AF45" i="32"/>
  <c r="H45" i="32"/>
  <c r="BA45" i="32" s="1"/>
  <c r="F45" i="32"/>
  <c r="H44" i="32"/>
  <c r="F44" i="32"/>
  <c r="H43" i="32"/>
  <c r="AR43" i="32" s="1"/>
  <c r="F43" i="32"/>
  <c r="H42" i="32"/>
  <c r="R42" i="32" s="1"/>
  <c r="F42" i="32"/>
  <c r="H41" i="32"/>
  <c r="BA41" i="32" s="1"/>
  <c r="F41" i="32"/>
  <c r="H40" i="32"/>
  <c r="AH40" i="32" s="1"/>
  <c r="F40" i="32"/>
  <c r="AF39" i="32"/>
  <c r="H39" i="32"/>
  <c r="AU39" i="32" s="1"/>
  <c r="F39" i="32"/>
  <c r="H38" i="32"/>
  <c r="AH38" i="32" s="1"/>
  <c r="F38" i="32"/>
  <c r="H37" i="32"/>
  <c r="AW37" i="32" s="1"/>
  <c r="F37" i="32"/>
  <c r="H36" i="32"/>
  <c r="W36" i="32" s="1"/>
  <c r="F36" i="32"/>
  <c r="H35" i="32"/>
  <c r="AN35" i="32" s="1"/>
  <c r="F35" i="32"/>
  <c r="H34" i="32"/>
  <c r="AH34" i="32" s="1"/>
  <c r="F34" i="32"/>
  <c r="AX33" i="32"/>
  <c r="H33" i="32"/>
  <c r="AN33" i="32" s="1"/>
  <c r="F33" i="32"/>
  <c r="H32" i="32"/>
  <c r="AR32" i="32" s="1"/>
  <c r="H31" i="32"/>
  <c r="AZ31" i="32" s="1"/>
  <c r="F31" i="32"/>
  <c r="H30" i="32"/>
  <c r="AX30" i="32" s="1"/>
  <c r="F30" i="32"/>
  <c r="AR28" i="32"/>
  <c r="AN28" i="32"/>
  <c r="AB28" i="32"/>
  <c r="W28" i="32"/>
  <c r="H28" i="32"/>
  <c r="AZ28" i="32" s="1"/>
  <c r="F28" i="32"/>
  <c r="AW27" i="32"/>
  <c r="H27" i="32"/>
  <c r="AX27" i="32" s="1"/>
  <c r="F27" i="32"/>
  <c r="H26" i="32"/>
  <c r="AZ26" i="32" s="1"/>
  <c r="F26" i="32"/>
  <c r="H25" i="32"/>
  <c r="AZ25" i="32" s="1"/>
  <c r="F25" i="32"/>
  <c r="H24" i="32"/>
  <c r="Y24" i="32" s="1"/>
  <c r="F24" i="32"/>
  <c r="H23" i="32"/>
  <c r="AU23" i="32" s="1"/>
  <c r="F23" i="32"/>
  <c r="AK22" i="32"/>
  <c r="H22" i="32"/>
  <c r="AW22" i="32" s="1"/>
  <c r="F22" i="32"/>
  <c r="H21" i="32"/>
  <c r="AR21" i="32" s="1"/>
  <c r="F21" i="32"/>
  <c r="H20" i="32"/>
  <c r="AK20" i="32" s="1"/>
  <c r="F20" i="32"/>
  <c r="H19" i="32"/>
  <c r="AR19" i="32" s="1"/>
  <c r="F19" i="32"/>
  <c r="H18" i="32"/>
  <c r="BA18" i="32" s="1"/>
  <c r="F18" i="32"/>
  <c r="H17" i="32"/>
  <c r="AQ17" i="32" s="1"/>
  <c r="F17" i="32"/>
  <c r="H16" i="32"/>
  <c r="AW16" i="32" s="1"/>
  <c r="F16" i="32"/>
  <c r="H15" i="32"/>
  <c r="AZ15" i="32" s="1"/>
  <c r="F15" i="32"/>
  <c r="H14" i="32"/>
  <c r="AO14" i="32" s="1"/>
  <c r="F14" i="32"/>
  <c r="AL13" i="32"/>
  <c r="AB13" i="32"/>
  <c r="V13" i="32"/>
  <c r="H13" i="32"/>
  <c r="AX13" i="32" s="1"/>
  <c r="F13" i="32"/>
  <c r="AN12" i="32"/>
  <c r="H12" i="32"/>
  <c r="AW12" i="32" s="1"/>
  <c r="F12" i="32"/>
  <c r="H11" i="32"/>
  <c r="V11" i="32" s="1"/>
  <c r="F11" i="32"/>
  <c r="H10" i="32"/>
  <c r="AW10" i="32" s="1"/>
  <c r="F10" i="32"/>
  <c r="H9" i="32"/>
  <c r="AF9" i="32" s="1"/>
  <c r="F9" i="32"/>
  <c r="H8" i="32"/>
  <c r="AX8" i="32" s="1"/>
  <c r="F8" i="32"/>
  <c r="H7" i="32"/>
  <c r="AR7" i="32" s="1"/>
  <c r="F7" i="32"/>
  <c r="AL6" i="32"/>
  <c r="H6" i="32"/>
  <c r="BA6" i="32" s="1"/>
  <c r="F6" i="32"/>
  <c r="AX12" i="32" l="1"/>
  <c r="Z18" i="32"/>
  <c r="AC20" i="32"/>
  <c r="AE28" i="32"/>
  <c r="AU28" i="32"/>
  <c r="S39" i="32"/>
  <c r="Z39" i="32" s="1"/>
  <c r="AW39" i="32"/>
  <c r="Y41" i="32"/>
  <c r="AN41" i="32"/>
  <c r="Y43" i="32"/>
  <c r="AL8" i="32"/>
  <c r="AQ9" i="32"/>
  <c r="AB12" i="32"/>
  <c r="AE27" i="32"/>
  <c r="S28" i="32"/>
  <c r="T28" i="32" s="1"/>
  <c r="AK28" i="32"/>
  <c r="AW28" i="32"/>
  <c r="AB33" i="32"/>
  <c r="Y34" i="32"/>
  <c r="AB39" i="32"/>
  <c r="BA39" i="32"/>
  <c r="AC41" i="32"/>
  <c r="AU41" i="32"/>
  <c r="AO43" i="32"/>
  <c r="S49" i="32"/>
  <c r="T49" i="32" s="1"/>
  <c r="AC49" i="32"/>
  <c r="S8" i="33"/>
  <c r="AK8" i="33"/>
  <c r="S10" i="33"/>
  <c r="Z10" i="33" s="1"/>
  <c r="AK10" i="33"/>
  <c r="S12" i="33"/>
  <c r="T12" i="33" s="1"/>
  <c r="AN12" i="33"/>
  <c r="AR12" i="33" s="1"/>
  <c r="Y14" i="33"/>
  <c r="W16" i="33"/>
  <c r="Y18" i="33"/>
  <c r="W20" i="33"/>
  <c r="Y22" i="33"/>
  <c r="AR22" i="33"/>
  <c r="AE24" i="33"/>
  <c r="AU24" i="33"/>
  <c r="AC26" i="33"/>
  <c r="AU26" i="33"/>
  <c r="S27" i="33"/>
  <c r="T27" i="33" s="1"/>
  <c r="AI27" i="33"/>
  <c r="AZ27" i="33"/>
  <c r="W28" i="33"/>
  <c r="AW28" i="33"/>
  <c r="AI31" i="33"/>
  <c r="AW31" i="33"/>
  <c r="AK31" i="33"/>
  <c r="AB31" i="33"/>
  <c r="AZ31" i="33"/>
  <c r="AT31" i="33"/>
  <c r="Y31" i="33"/>
  <c r="AQ31" i="33"/>
  <c r="AH31" i="33"/>
  <c r="AE31" i="33"/>
  <c r="S31" i="33"/>
  <c r="AN31" i="33"/>
  <c r="AZ53" i="33"/>
  <c r="AT53" i="33"/>
  <c r="Y53" i="33"/>
  <c r="AL53" i="33"/>
  <c r="AW53" i="33"/>
  <c r="AH53" i="33"/>
  <c r="AI53" i="33" s="1"/>
  <c r="AK53" i="33"/>
  <c r="AQ53" i="33"/>
  <c r="AE53" i="33"/>
  <c r="S53" i="33"/>
  <c r="AN53" i="33"/>
  <c r="AB53" i="33"/>
  <c r="X45" i="34"/>
  <c r="AB8" i="34"/>
  <c r="AF41" i="32"/>
  <c r="AW41" i="32"/>
  <c r="AI24" i="33"/>
  <c r="AZ24" i="33"/>
  <c r="AI26" i="33"/>
  <c r="AX26" i="33"/>
  <c r="BA32" i="33"/>
  <c r="AZ32" i="33"/>
  <c r="AT32" i="33"/>
  <c r="AH32" i="33"/>
  <c r="Y32" i="33"/>
  <c r="AW32" i="33"/>
  <c r="AN32" i="33"/>
  <c r="AB32" i="33"/>
  <c r="AK32" i="33"/>
  <c r="AQ32" i="33"/>
  <c r="AE32" i="33"/>
  <c r="S32" i="33"/>
  <c r="T32" i="33" s="1"/>
  <c r="BA33" i="33"/>
  <c r="AW33" i="33"/>
  <c r="AQ33" i="33"/>
  <c r="S33" i="33"/>
  <c r="AT33" i="33"/>
  <c r="AE33" i="33"/>
  <c r="AN33" i="33"/>
  <c r="AB33" i="33"/>
  <c r="AZ33" i="33"/>
  <c r="AK33" i="33"/>
  <c r="Y33" i="33"/>
  <c r="AH33" i="33"/>
  <c r="AW35" i="33"/>
  <c r="AK35" i="33"/>
  <c r="AB35" i="33"/>
  <c r="AZ35" i="33"/>
  <c r="Y35" i="33"/>
  <c r="AQ35" i="33"/>
  <c r="AH35" i="33"/>
  <c r="AE35" i="33"/>
  <c r="S35" i="33"/>
  <c r="AT35" i="33"/>
  <c r="AN35" i="33"/>
  <c r="AX39" i="33"/>
  <c r="AW39" i="33"/>
  <c r="AK39" i="33"/>
  <c r="AB39" i="33"/>
  <c r="AZ39" i="33"/>
  <c r="AQ39" i="33"/>
  <c r="AH39" i="33"/>
  <c r="AE39" i="33"/>
  <c r="AN39" i="33"/>
  <c r="S39" i="33"/>
  <c r="AT39" i="33"/>
  <c r="Y39" i="33"/>
  <c r="AZ42" i="33"/>
  <c r="AN42" i="33"/>
  <c r="AE42" i="33"/>
  <c r="AT42" i="33"/>
  <c r="AB42" i="33"/>
  <c r="AK42" i="33"/>
  <c r="Y42" i="33"/>
  <c r="AW42" i="33"/>
  <c r="AQ42" i="33"/>
  <c r="AH42" i="33"/>
  <c r="S42" i="33"/>
  <c r="AZ44" i="33"/>
  <c r="AT44" i="33"/>
  <c r="AH44" i="33"/>
  <c r="Y44" i="33"/>
  <c r="AW44" i="33"/>
  <c r="AQ44" i="33"/>
  <c r="AE44" i="33"/>
  <c r="S44" i="33"/>
  <c r="AN44" i="33"/>
  <c r="AB44" i="33"/>
  <c r="AK44" i="33"/>
  <c r="AZ46" i="33"/>
  <c r="AN46" i="33"/>
  <c r="AE46" i="33"/>
  <c r="AK46" i="33"/>
  <c r="AQ46" i="33"/>
  <c r="AH46" i="33"/>
  <c r="S46" i="33"/>
  <c r="AT46" i="33"/>
  <c r="AW46" i="33"/>
  <c r="AB46" i="33"/>
  <c r="Y46" i="33"/>
  <c r="BA48" i="33"/>
  <c r="AZ48" i="33"/>
  <c r="AT48" i="33"/>
  <c r="AH48" i="33"/>
  <c r="Y48" i="33"/>
  <c r="AW48" i="33"/>
  <c r="AN48" i="33"/>
  <c r="AB48" i="33"/>
  <c r="AK48" i="33"/>
  <c r="AQ48" i="33"/>
  <c r="AE48" i="33"/>
  <c r="S48" i="33"/>
  <c r="AI48" i="33"/>
  <c r="AZ50" i="33"/>
  <c r="AN50" i="33"/>
  <c r="AE50" i="33"/>
  <c r="AW50" i="33"/>
  <c r="AT50" i="33"/>
  <c r="AQ50" i="33"/>
  <c r="AH50" i="33"/>
  <c r="AB50" i="33"/>
  <c r="AK50" i="33"/>
  <c r="Y50" i="33"/>
  <c r="S50" i="33"/>
  <c r="AB21" i="32"/>
  <c r="AQ39" i="32"/>
  <c r="S41" i="32"/>
  <c r="T41" i="32" s="1"/>
  <c r="AK41" i="32"/>
  <c r="AZ41" i="32"/>
  <c r="AC8" i="33"/>
  <c r="AU8" i="33"/>
  <c r="AC10" i="33"/>
  <c r="AU10" i="33"/>
  <c r="AE12" i="33"/>
  <c r="AW12" i="33"/>
  <c r="AR20" i="33"/>
  <c r="S24" i="33"/>
  <c r="T24" i="33" s="1"/>
  <c r="AN24" i="33"/>
  <c r="S26" i="33"/>
  <c r="T26" i="33" s="1"/>
  <c r="AN26" i="33"/>
  <c r="AK28" i="33"/>
  <c r="BA30" i="33"/>
  <c r="AI30" i="33"/>
  <c r="S30" i="33"/>
  <c r="AW37" i="33"/>
  <c r="AQ37" i="33"/>
  <c r="S37" i="33"/>
  <c r="AT37" i="33"/>
  <c r="AN37" i="33"/>
  <c r="AB37" i="33"/>
  <c r="AK37" i="33"/>
  <c r="Y37" i="33"/>
  <c r="AH37" i="33"/>
  <c r="AZ37" i="33"/>
  <c r="AE37" i="33"/>
  <c r="AT38" i="33"/>
  <c r="AZ38" i="33"/>
  <c r="AN38" i="33"/>
  <c r="AE38" i="33"/>
  <c r="AW38" i="33"/>
  <c r="AB38" i="33"/>
  <c r="AK38" i="33"/>
  <c r="Y38" i="33"/>
  <c r="AQ38" i="33"/>
  <c r="AH38" i="33"/>
  <c r="S38" i="33"/>
  <c r="R48" i="33"/>
  <c r="BA54" i="33"/>
  <c r="AW54" i="33"/>
  <c r="AQ54" i="33"/>
  <c r="AH54" i="33"/>
  <c r="S54" i="33"/>
  <c r="AT54" i="33"/>
  <c r="AN54" i="33"/>
  <c r="AB54" i="33"/>
  <c r="AK54" i="33"/>
  <c r="Y54" i="33"/>
  <c r="AZ54" i="33"/>
  <c r="AE54" i="33"/>
  <c r="AZ11" i="34"/>
  <c r="AW8" i="32"/>
  <c r="V8" i="32"/>
  <c r="AB8" i="32"/>
  <c r="V12" i="32"/>
  <c r="W40" i="32"/>
  <c r="S47" i="32"/>
  <c r="T47" i="32" s="1"/>
  <c r="W47" i="32"/>
  <c r="AF8" i="33"/>
  <c r="AZ8" i="33"/>
  <c r="AF10" i="33"/>
  <c r="AZ10" i="33"/>
  <c r="AI12" i="33"/>
  <c r="BA12" i="33"/>
  <c r="AR14" i="33"/>
  <c r="AR16" i="33"/>
  <c r="AR18" i="33"/>
  <c r="AQ20" i="33"/>
  <c r="AB24" i="33"/>
  <c r="AQ24" i="33"/>
  <c r="Y26" i="33"/>
  <c r="AQ26" i="33"/>
  <c r="AE27" i="33"/>
  <c r="AU27" i="33"/>
  <c r="R28" i="33"/>
  <c r="AQ28" i="33"/>
  <c r="AO32" i="33"/>
  <c r="AT34" i="33"/>
  <c r="AZ34" i="33"/>
  <c r="AN34" i="33"/>
  <c r="AE34" i="33"/>
  <c r="AW34" i="33"/>
  <c r="AQ34" i="33"/>
  <c r="AH34" i="33"/>
  <c r="AB34" i="33"/>
  <c r="AK34" i="33"/>
  <c r="Y34" i="33"/>
  <c r="S34" i="33"/>
  <c r="AZ36" i="33"/>
  <c r="AT36" i="33"/>
  <c r="AH36" i="33"/>
  <c r="Y36" i="33"/>
  <c r="AW36" i="33"/>
  <c r="AK36" i="33"/>
  <c r="AQ36" i="33"/>
  <c r="AE36" i="33"/>
  <c r="S36" i="33"/>
  <c r="AN36" i="33"/>
  <c r="AB36" i="33"/>
  <c r="V37" i="33"/>
  <c r="AF38" i="33"/>
  <c r="AZ40" i="33"/>
  <c r="AT40" i="33"/>
  <c r="AH40" i="33"/>
  <c r="Y40" i="33"/>
  <c r="AW40" i="33"/>
  <c r="AQ40" i="33"/>
  <c r="AE40" i="33"/>
  <c r="S40" i="33"/>
  <c r="AN40" i="33"/>
  <c r="AB40" i="33"/>
  <c r="AK40" i="33"/>
  <c r="AW41" i="33"/>
  <c r="AQ41" i="33"/>
  <c r="S41" i="33"/>
  <c r="AT41" i="33"/>
  <c r="AZ41" i="33"/>
  <c r="AK41" i="33"/>
  <c r="Y41" i="33"/>
  <c r="AH41" i="33"/>
  <c r="AE41" i="33"/>
  <c r="AN41" i="33"/>
  <c r="AB41" i="33"/>
  <c r="AU43" i="33"/>
  <c r="AW43" i="33"/>
  <c r="AK43" i="33"/>
  <c r="AB43" i="33"/>
  <c r="AZ43" i="33"/>
  <c r="AN43" i="33"/>
  <c r="AT43" i="33"/>
  <c r="Y43" i="33"/>
  <c r="AQ43" i="33"/>
  <c r="AH43" i="33"/>
  <c r="AE43" i="33"/>
  <c r="S43" i="33"/>
  <c r="AW45" i="33"/>
  <c r="AQ45" i="33"/>
  <c r="S45" i="33"/>
  <c r="AT45" i="33"/>
  <c r="AH45" i="33"/>
  <c r="AZ45" i="33"/>
  <c r="AE45" i="33"/>
  <c r="AN45" i="33"/>
  <c r="AB45" i="33"/>
  <c r="AK45" i="33"/>
  <c r="Y45" i="33"/>
  <c r="AW47" i="33"/>
  <c r="AK47" i="33"/>
  <c r="AB47" i="33"/>
  <c r="AZ47" i="33"/>
  <c r="Y47" i="33"/>
  <c r="AQ47" i="33"/>
  <c r="AH47" i="33"/>
  <c r="AE47" i="33"/>
  <c r="S47" i="33"/>
  <c r="AT47" i="33"/>
  <c r="AN47" i="33"/>
  <c r="Z48" i="33"/>
  <c r="AW49" i="33"/>
  <c r="AQ49" i="33"/>
  <c r="S49" i="33"/>
  <c r="AT49" i="33"/>
  <c r="AE49" i="33"/>
  <c r="AN49" i="33"/>
  <c r="AB49" i="33"/>
  <c r="AZ49" i="33"/>
  <c r="AK49" i="33"/>
  <c r="Y49" i="33"/>
  <c r="AH49" i="33"/>
  <c r="AW51" i="33"/>
  <c r="AK51" i="33"/>
  <c r="AB51" i="33"/>
  <c r="AZ51" i="33"/>
  <c r="Y51" i="33"/>
  <c r="AT51" i="33"/>
  <c r="AQ51" i="33"/>
  <c r="AH51" i="33"/>
  <c r="AE51" i="33"/>
  <c r="S51" i="33"/>
  <c r="AN51" i="33"/>
  <c r="BA51" i="33"/>
  <c r="AF54" i="33"/>
  <c r="AE21" i="34"/>
  <c r="AZ52" i="33"/>
  <c r="AQ52" i="33"/>
  <c r="AK52" i="33"/>
  <c r="AE52" i="33"/>
  <c r="AF52" i="33" s="1"/>
  <c r="Y52" i="33"/>
  <c r="S52" i="33"/>
  <c r="AW52" i="33"/>
  <c r="AT52" i="33"/>
  <c r="AN52" i="33"/>
  <c r="AH52" i="33"/>
  <c r="AB52" i="33"/>
  <c r="AC6" i="33"/>
  <c r="AU6" i="33"/>
  <c r="BA43" i="33"/>
  <c r="AI43" i="33"/>
  <c r="R43" i="33"/>
  <c r="BB43" i="33" s="1"/>
  <c r="S6" i="33"/>
  <c r="Z6" i="33" s="1"/>
  <c r="AE6" i="33"/>
  <c r="AO6" i="33"/>
  <c r="AW6" i="33"/>
  <c r="Y6" i="33"/>
  <c r="AI6" i="33"/>
  <c r="AQ6" i="33"/>
  <c r="AZ6" i="33"/>
  <c r="AF14" i="33"/>
  <c r="AE16" i="33"/>
  <c r="AF18" i="33"/>
  <c r="AE20" i="33"/>
  <c r="BA37" i="33"/>
  <c r="AX37" i="33"/>
  <c r="AI37" i="33"/>
  <c r="AJ37" i="33" s="1"/>
  <c r="R37" i="33"/>
  <c r="AU37" i="33"/>
  <c r="AV37" i="33" s="1"/>
  <c r="AF37" i="33"/>
  <c r="BA40" i="33"/>
  <c r="AU40" i="33"/>
  <c r="AI40" i="33"/>
  <c r="V40" i="33"/>
  <c r="R40" i="33"/>
  <c r="AL40" i="33"/>
  <c r="V41" i="33"/>
  <c r="T44" i="33"/>
  <c r="AL50" i="33"/>
  <c r="Z50" i="33"/>
  <c r="BA50" i="33"/>
  <c r="AR50" i="33"/>
  <c r="AF50" i="33"/>
  <c r="V50" i="33"/>
  <c r="AO50" i="33"/>
  <c r="BA52" i="33"/>
  <c r="AR52" i="33"/>
  <c r="AL52" i="33"/>
  <c r="V52" i="33"/>
  <c r="AU52" i="33"/>
  <c r="R52" i="33"/>
  <c r="T53" i="33"/>
  <c r="AN6" i="33"/>
  <c r="T43" i="33"/>
  <c r="BA49" i="33"/>
  <c r="AU49" i="33"/>
  <c r="AB6" i="33"/>
  <c r="AK6" i="33"/>
  <c r="AR6" i="33"/>
  <c r="AZ14" i="33"/>
  <c r="AQ14" i="33"/>
  <c r="AI14" i="33"/>
  <c r="AB14" i="33"/>
  <c r="AU14" i="33"/>
  <c r="AN14" i="33"/>
  <c r="AE14" i="33"/>
  <c r="S14" i="33"/>
  <c r="T14" i="33" s="1"/>
  <c r="AK14" i="33"/>
  <c r="BA14" i="33"/>
  <c r="AZ16" i="33"/>
  <c r="AQ16" i="33"/>
  <c r="AF16" i="33"/>
  <c r="Y16" i="33"/>
  <c r="AU16" i="33"/>
  <c r="AK16" i="33"/>
  <c r="AO16" i="33" s="1"/>
  <c r="AC16" i="33"/>
  <c r="S16" i="33"/>
  <c r="T16" i="33" s="1"/>
  <c r="AI16" i="33"/>
  <c r="BA16" i="33"/>
  <c r="AZ18" i="33"/>
  <c r="AQ18" i="33"/>
  <c r="AI18" i="33"/>
  <c r="AB18" i="33"/>
  <c r="AU18" i="33"/>
  <c r="AN18" i="33"/>
  <c r="AE18" i="33"/>
  <c r="S18" i="33"/>
  <c r="T18" i="33" s="1"/>
  <c r="AK18" i="33"/>
  <c r="BA18" i="33"/>
  <c r="AZ20" i="33"/>
  <c r="AO20" i="33"/>
  <c r="AF20" i="33"/>
  <c r="Y20" i="33"/>
  <c r="AU20" i="33"/>
  <c r="AK20" i="33"/>
  <c r="AC20" i="33"/>
  <c r="S20" i="33"/>
  <c r="T20" i="33" s="1"/>
  <c r="AI20" i="33"/>
  <c r="BA20" i="33"/>
  <c r="BA22" i="33"/>
  <c r="AQ22" i="33"/>
  <c r="AI22" i="33"/>
  <c r="AB22" i="33"/>
  <c r="AW22" i="33"/>
  <c r="AN22" i="33"/>
  <c r="AE22" i="33"/>
  <c r="S22" i="33"/>
  <c r="T22" i="33" s="1"/>
  <c r="AK22" i="33"/>
  <c r="AL37" i="33"/>
  <c r="AM37" i="33" s="1"/>
  <c r="AY37" i="33"/>
  <c r="T40" i="33"/>
  <c r="AL43" i="33"/>
  <c r="AC50" i="33"/>
  <c r="T52" i="33"/>
  <c r="AI52" i="33"/>
  <c r="AX52" i="33"/>
  <c r="AB8" i="33"/>
  <c r="AI8" i="33"/>
  <c r="AQ8" i="33"/>
  <c r="BA8" i="33"/>
  <c r="AB10" i="33"/>
  <c r="AI10" i="33"/>
  <c r="AR10" i="33"/>
  <c r="BA10" i="33"/>
  <c r="AC12" i="33"/>
  <c r="AK12" i="33"/>
  <c r="AU12" i="33"/>
  <c r="Y24" i="33"/>
  <c r="AC24" i="33" s="1"/>
  <c r="AF24" i="33"/>
  <c r="AO24" i="33"/>
  <c r="AW24" i="33"/>
  <c r="AE26" i="33"/>
  <c r="AO26" i="33"/>
  <c r="AW26" i="33"/>
  <c r="Y27" i="33"/>
  <c r="AF27" i="33"/>
  <c r="AO27" i="33"/>
  <c r="AW27" i="33"/>
  <c r="Z28" i="33"/>
  <c r="AA28" i="33" s="1"/>
  <c r="AH28" i="33"/>
  <c r="AU28" i="33"/>
  <c r="AV28" i="33" s="1"/>
  <c r="AL32" i="33"/>
  <c r="T48" i="33"/>
  <c r="U48" i="33" s="1"/>
  <c r="AA48" i="33"/>
  <c r="AU48" i="33"/>
  <c r="AI51" i="33"/>
  <c r="AJ51" i="33" s="1"/>
  <c r="AY51" i="33"/>
  <c r="T8" i="33"/>
  <c r="AE8" i="33"/>
  <c r="AN8" i="33"/>
  <c r="W10" i="33"/>
  <c r="AE10" i="33"/>
  <c r="AN10" i="33"/>
  <c r="AO10" i="33" s="1"/>
  <c r="Y12" i="33"/>
  <c r="AF12" i="33"/>
  <c r="AO12" i="33"/>
  <c r="AK24" i="33"/>
  <c r="AR24" i="33"/>
  <c r="AB26" i="33"/>
  <c r="AK26" i="33"/>
  <c r="AR26" i="33"/>
  <c r="AC27" i="33"/>
  <c r="AK27" i="33"/>
  <c r="AR27" i="33"/>
  <c r="V28" i="33"/>
  <c r="AC28" i="33"/>
  <c r="AD28" i="33" s="1"/>
  <c r="AL28" i="33"/>
  <c r="V32" i="33"/>
  <c r="W32" i="33" s="1"/>
  <c r="AI32" i="33"/>
  <c r="AU32" i="33"/>
  <c r="V48" i="33"/>
  <c r="W48" i="33" s="1"/>
  <c r="AL48" i="33"/>
  <c r="AM48" i="33" s="1"/>
  <c r="AR48" i="33"/>
  <c r="AS48" i="33" s="1"/>
  <c r="AD51" i="33"/>
  <c r="AO49" i="33"/>
  <c r="AF49" i="33"/>
  <c r="AR49" i="33"/>
  <c r="W47" i="33"/>
  <c r="AL47" i="33"/>
  <c r="R47" i="33"/>
  <c r="AI44" i="33"/>
  <c r="V43" i="33"/>
  <c r="W43" i="33" s="1"/>
  <c r="AF43" i="33"/>
  <c r="AX43" i="33"/>
  <c r="AR41" i="33"/>
  <c r="AF41" i="33"/>
  <c r="R39" i="33"/>
  <c r="Z33" i="33"/>
  <c r="AF33" i="33"/>
  <c r="AG33" i="33" s="1"/>
  <c r="AX33" i="33"/>
  <c r="AY33" i="33" s="1"/>
  <c r="V33" i="33"/>
  <c r="AR33" i="33"/>
  <c r="AS33" i="33" s="1"/>
  <c r="AI33" i="33"/>
  <c r="AJ33" i="33" s="1"/>
  <c r="R33" i="33"/>
  <c r="AU33" i="33"/>
  <c r="AU31" i="33"/>
  <c r="AB30" i="33"/>
  <c r="AL30" i="33"/>
  <c r="AT30" i="33"/>
  <c r="AZ30" i="33"/>
  <c r="AE30" i="33"/>
  <c r="AF30" i="33" s="1"/>
  <c r="AN30" i="33"/>
  <c r="AU30" i="33"/>
  <c r="V30" i="33"/>
  <c r="AQ30" i="33"/>
  <c r="AX30" i="33"/>
  <c r="R30" i="33"/>
  <c r="BB30" i="33" s="1"/>
  <c r="AH30" i="33"/>
  <c r="AR30" i="33"/>
  <c r="AP20" i="34"/>
  <c r="AQ20" i="34" s="1"/>
  <c r="AA50" i="34"/>
  <c r="AM34" i="34"/>
  <c r="AN34" i="34" s="1"/>
  <c r="Y28" i="34"/>
  <c r="AE20" i="34"/>
  <c r="AI51" i="32"/>
  <c r="AZ51" i="32"/>
  <c r="V7" i="32"/>
  <c r="V6" i="32"/>
  <c r="W7" i="32"/>
  <c r="AH14" i="32"/>
  <c r="AO18" i="32"/>
  <c r="AB6" i="32"/>
  <c r="AH7" i="32"/>
  <c r="AN8" i="32"/>
  <c r="AB9" i="32"/>
  <c r="R12" i="32"/>
  <c r="AL12" i="32"/>
  <c r="AQ13" i="32"/>
  <c r="AN17" i="32"/>
  <c r="Y18" i="32"/>
  <c r="AZ19" i="32"/>
  <c r="BA20" i="32"/>
  <c r="AN21" i="32"/>
  <c r="BA28" i="32"/>
  <c r="AC28" i="32"/>
  <c r="AO28" i="32"/>
  <c r="AK33" i="32"/>
  <c r="S34" i="32"/>
  <c r="W34" i="32" s="1"/>
  <c r="AX38" i="32"/>
  <c r="Y39" i="32"/>
  <c r="AK39" i="32"/>
  <c r="AZ39" i="32"/>
  <c r="R40" i="32"/>
  <c r="AE41" i="32"/>
  <c r="AQ41" i="32"/>
  <c r="S43" i="32"/>
  <c r="T43" i="32" s="1"/>
  <c r="AN43" i="32"/>
  <c r="S45" i="32"/>
  <c r="T45" i="32" s="1"/>
  <c r="AE45" i="32"/>
  <c r="AO45" i="32"/>
  <c r="R47" i="32"/>
  <c r="R49" i="32"/>
  <c r="AE51" i="32"/>
  <c r="AU51" i="32"/>
  <c r="Z52" i="32"/>
  <c r="AL7" i="32"/>
  <c r="AZ17" i="32"/>
  <c r="W35" i="32"/>
  <c r="AN6" i="32"/>
  <c r="AX7" i="32"/>
  <c r="BA7" i="32" s="1"/>
  <c r="AB17" i="32"/>
  <c r="AK18" i="32"/>
  <c r="AB19" i="32"/>
  <c r="AE23" i="32"/>
  <c r="AI34" i="32"/>
  <c r="AE39" i="32"/>
  <c r="AR39" i="32"/>
  <c r="AX40" i="32"/>
  <c r="AE43" i="32"/>
  <c r="AW43" i="32"/>
  <c r="Y45" i="32"/>
  <c r="AK45" i="32"/>
  <c r="AW45" i="32"/>
  <c r="AB47" i="32"/>
  <c r="S51" i="32"/>
  <c r="T51" i="32" s="1"/>
  <c r="AN51" i="32"/>
  <c r="S53" i="32"/>
  <c r="T53" i="32" s="1"/>
  <c r="Z41" i="32"/>
  <c r="AO39" i="32"/>
  <c r="AR42" i="32"/>
  <c r="AX6" i="32"/>
  <c r="AH12" i="32"/>
  <c r="AI17" i="32"/>
  <c r="AN19" i="32"/>
  <c r="AQ23" i="32"/>
  <c r="AT34" i="32"/>
  <c r="AF43" i="32"/>
  <c r="AZ43" i="32"/>
  <c r="AC45" i="32"/>
  <c r="AN45" i="32"/>
  <c r="AZ45" i="32"/>
  <c r="AX47" i="32"/>
  <c r="AB51" i="32"/>
  <c r="AQ51" i="32"/>
  <c r="AR53" i="32"/>
  <c r="AI52" i="32"/>
  <c r="BA46" i="32"/>
  <c r="AK54" i="34"/>
  <c r="AE49" i="34"/>
  <c r="AH37" i="34"/>
  <c r="AN31" i="34"/>
  <c r="AW31" i="34"/>
  <c r="AA23" i="34"/>
  <c r="AB23" i="34" s="1"/>
  <c r="AH21" i="34"/>
  <c r="AN20" i="34"/>
  <c r="AV14" i="34"/>
  <c r="AW14" i="34" s="1"/>
  <c r="AP8" i="34"/>
  <c r="AQ8" i="34" s="1"/>
  <c r="AZ7" i="34"/>
  <c r="AE14" i="34"/>
  <c r="S37" i="34"/>
  <c r="AE45" i="34"/>
  <c r="V52" i="34"/>
  <c r="AQ52" i="34"/>
  <c r="AQ37" i="34"/>
  <c r="AT35" i="34"/>
  <c r="AT51" i="34"/>
  <c r="AH50" i="34"/>
  <c r="AT31" i="34"/>
  <c r="S31" i="34"/>
  <c r="AB28" i="34"/>
  <c r="X20" i="34"/>
  <c r="Y20" i="34" s="1"/>
  <c r="AH20" i="34"/>
  <c r="AW20" i="34"/>
  <c r="X11" i="34"/>
  <c r="Y11" i="34" s="1"/>
  <c r="R6" i="34"/>
  <c r="U6" i="34" s="1"/>
  <c r="V6" i="34" s="1"/>
  <c r="AZ14" i="34"/>
  <c r="Y47" i="34"/>
  <c r="U14" i="34"/>
  <c r="V14" i="34" s="1"/>
  <c r="AK47" i="34"/>
  <c r="AB31" i="34"/>
  <c r="AH45" i="34"/>
  <c r="U48" i="34"/>
  <c r="V48" i="34" s="1"/>
  <c r="AE35" i="34"/>
  <c r="AQ33" i="34"/>
  <c r="AW21" i="34"/>
  <c r="AZ45" i="34"/>
  <c r="AN38" i="34"/>
  <c r="AH51" i="34"/>
  <c r="AN45" i="34"/>
  <c r="AS45" i="34"/>
  <c r="AT45" i="34" s="1"/>
  <c r="S45" i="34"/>
  <c r="AQ45" i="34"/>
  <c r="AV49" i="34"/>
  <c r="AB45" i="34"/>
  <c r="AA48" i="34"/>
  <c r="S48" i="34"/>
  <c r="AB32" i="34"/>
  <c r="AW35" i="34"/>
  <c r="AB35" i="34"/>
  <c r="AN33" i="34"/>
  <c r="Y25" i="34"/>
  <c r="R38" i="34"/>
  <c r="R34" i="34"/>
  <c r="AW25" i="34"/>
  <c r="AA24" i="34"/>
  <c r="AB24" i="34" s="1"/>
  <c r="AZ21" i="34"/>
  <c r="AT20" i="34"/>
  <c r="AM19" i="34"/>
  <c r="AN19" i="34" s="1"/>
  <c r="Y19" i="34"/>
  <c r="AQ19" i="34"/>
  <c r="S14" i="34"/>
  <c r="AH11" i="34"/>
  <c r="V11" i="34"/>
  <c r="V8" i="34"/>
  <c r="AK11" i="34"/>
  <c r="AP36" i="34"/>
  <c r="AQ36" i="34" s="1"/>
  <c r="X52" i="34"/>
  <c r="Y52" i="34" s="1"/>
  <c r="Y51" i="34"/>
  <c r="AK51" i="34"/>
  <c r="AZ51" i="34"/>
  <c r="AP40" i="34"/>
  <c r="AQ40" i="34" s="1"/>
  <c r="AJ18" i="34"/>
  <c r="AK18" i="34" s="1"/>
  <c r="X44" i="34"/>
  <c r="Y44" i="34" s="1"/>
  <c r="S51" i="34"/>
  <c r="AW45" i="34"/>
  <c r="AN52" i="34"/>
  <c r="AN48" i="34"/>
  <c r="AK48" i="34"/>
  <c r="AB41" i="34"/>
  <c r="AW46" i="34"/>
  <c r="Y54" i="34"/>
  <c r="AH54" i="34"/>
  <c r="AB51" i="34"/>
  <c r="U50" i="34"/>
  <c r="V50" i="34" s="1"/>
  <c r="AH47" i="34"/>
  <c r="AW50" i="34"/>
  <c r="U49" i="34"/>
  <c r="V49" i="34" s="1"/>
  <c r="AN50" i="34"/>
  <c r="AK49" i="34"/>
  <c r="Y45" i="34"/>
  <c r="AZ50" i="34"/>
  <c r="Y49" i="34"/>
  <c r="AH48" i="34"/>
  <c r="AW47" i="34"/>
  <c r="AZ49" i="34"/>
  <c r="AB43" i="34"/>
  <c r="X35" i="34"/>
  <c r="Y35" i="34" s="1"/>
  <c r="AW33" i="34"/>
  <c r="AB33" i="34"/>
  <c r="AE33" i="34"/>
  <c r="AT33" i="34"/>
  <c r="X41" i="34"/>
  <c r="Y41" i="34" s="1"/>
  <c r="AK35" i="34"/>
  <c r="AK39" i="34"/>
  <c r="U33" i="34"/>
  <c r="V33" i="34" s="1"/>
  <c r="AN37" i="34"/>
  <c r="S35" i="34"/>
  <c r="AH14" i="34"/>
  <c r="Y14" i="34"/>
  <c r="AN12" i="34"/>
  <c r="AN10" i="34"/>
  <c r="AZ12" i="34"/>
  <c r="AW8" i="34"/>
  <c r="AQ14" i="34"/>
  <c r="AD6" i="34"/>
  <c r="AE6" i="34" s="1"/>
  <c r="AQ28" i="34"/>
  <c r="AM7" i="34"/>
  <c r="AN7" i="34" s="1"/>
  <c r="S50" i="34"/>
  <c r="AK50" i="34"/>
  <c r="AE50" i="34"/>
  <c r="AT49" i="34"/>
  <c r="S49" i="34"/>
  <c r="AP47" i="34"/>
  <c r="AQ47" i="34" s="1"/>
  <c r="AS37" i="34"/>
  <c r="AT37" i="34" s="1"/>
  <c r="V54" i="34"/>
  <c r="AB54" i="34"/>
  <c r="Y50" i="34"/>
  <c r="AQ49" i="34"/>
  <c r="AZ10" i="34"/>
  <c r="AN8" i="34"/>
  <c r="X8" i="34"/>
  <c r="Y8" i="34" s="1"/>
  <c r="AD25" i="34"/>
  <c r="AE25" i="34" s="1"/>
  <c r="AJ53" i="34"/>
  <c r="AK53" i="34" s="1"/>
  <c r="AD51" i="34"/>
  <c r="AN49" i="34"/>
  <c r="AT8" i="34"/>
  <c r="AA46" i="34"/>
  <c r="AB46" i="34" s="1"/>
  <c r="X10" i="34"/>
  <c r="Y10" i="34" s="1"/>
  <c r="R10" i="34"/>
  <c r="S10" i="34" s="1"/>
  <c r="AT53" i="34"/>
  <c r="Y53" i="34"/>
  <c r="AH53" i="34"/>
  <c r="AZ53" i="34"/>
  <c r="AN53" i="34"/>
  <c r="AH44" i="34"/>
  <c r="AW44" i="34"/>
  <c r="AQ44" i="34"/>
  <c r="V44" i="34"/>
  <c r="AK44" i="34"/>
  <c r="AE44" i="34"/>
  <c r="AT44" i="34"/>
  <c r="S44" i="34"/>
  <c r="AT36" i="34"/>
  <c r="S36" i="34"/>
  <c r="AW36" i="34"/>
  <c r="AK36" i="34"/>
  <c r="AE36" i="34"/>
  <c r="AH36" i="34"/>
  <c r="V36" i="34"/>
  <c r="V53" i="34"/>
  <c r="AQ53" i="34"/>
  <c r="AZ54" i="34"/>
  <c r="AE54" i="34"/>
  <c r="AN54" i="34"/>
  <c r="S54" i="34"/>
  <c r="AT54" i="34"/>
  <c r="AB44" i="34"/>
  <c r="AB42" i="34"/>
  <c r="AB40" i="34"/>
  <c r="AB38" i="34"/>
  <c r="AB36" i="34"/>
  <c r="AN51" i="34"/>
  <c r="AE51" i="34"/>
  <c r="AN47" i="34"/>
  <c r="S47" i="34"/>
  <c r="AB50" i="34"/>
  <c r="AQ50" i="34"/>
  <c r="AT50" i="34"/>
  <c r="AW49" i="34"/>
  <c r="AH49" i="34"/>
  <c r="AK45" i="34"/>
  <c r="S52" i="34"/>
  <c r="AG52" i="34"/>
  <c r="AH52" i="34" s="1"/>
  <c r="AW51" i="34"/>
  <c r="U51" i="34"/>
  <c r="V51" i="34" s="1"/>
  <c r="AZ48" i="34"/>
  <c r="AT48" i="34"/>
  <c r="AE48" i="34"/>
  <c r="AB48" i="34"/>
  <c r="AQ48" i="34"/>
  <c r="AW48" i="34"/>
  <c r="AB47" i="34"/>
  <c r="U45" i="34"/>
  <c r="V45" i="34" s="1"/>
  <c r="AW34" i="34"/>
  <c r="AQ34" i="34"/>
  <c r="V34" i="34"/>
  <c r="AK34" i="34"/>
  <c r="AE34" i="34"/>
  <c r="AT34" i="34"/>
  <c r="Y34" i="34"/>
  <c r="S34" i="34"/>
  <c r="AH34" i="34"/>
  <c r="AW32" i="34"/>
  <c r="AQ32" i="34"/>
  <c r="V32" i="34"/>
  <c r="AK32" i="34"/>
  <c r="AE32" i="34"/>
  <c r="AT32" i="34"/>
  <c r="S32" i="34"/>
  <c r="AH32" i="34"/>
  <c r="AE43" i="34"/>
  <c r="AZ43" i="34"/>
  <c r="AK43" i="34"/>
  <c r="AH43" i="34"/>
  <c r="AP35" i="34"/>
  <c r="AQ35" i="34" s="1"/>
  <c r="AH35" i="34"/>
  <c r="AZ34" i="34"/>
  <c r="AZ32" i="34"/>
  <c r="AH41" i="34"/>
  <c r="AK37" i="34"/>
  <c r="AN35" i="34"/>
  <c r="U22" i="34"/>
  <c r="V22" i="34" s="1"/>
  <c r="S41" i="34"/>
  <c r="Y39" i="34"/>
  <c r="AG39" i="34"/>
  <c r="AH39" i="34" s="1"/>
  <c r="V39" i="34"/>
  <c r="AZ38" i="34"/>
  <c r="AZ33" i="34"/>
  <c r="AZ47" i="34"/>
  <c r="S39" i="34"/>
  <c r="X37" i="34"/>
  <c r="Y37" i="34" s="1"/>
  <c r="AJ33" i="34"/>
  <c r="AK33" i="34" s="1"/>
  <c r="U30" i="34"/>
  <c r="V30" i="34" s="1"/>
  <c r="X30" i="34"/>
  <c r="Y30" i="34" s="1"/>
  <c r="R30" i="34"/>
  <c r="S30" i="34" s="1"/>
  <c r="AS13" i="34"/>
  <c r="AT13" i="34" s="1"/>
  <c r="X13" i="34"/>
  <c r="Y13" i="34" s="1"/>
  <c r="R9" i="34"/>
  <c r="S9" i="34" s="1"/>
  <c r="X9" i="34"/>
  <c r="Y9" i="34" s="1"/>
  <c r="AE8" i="34"/>
  <c r="S8" i="34"/>
  <c r="AK8" i="34"/>
  <c r="AB6" i="34"/>
  <c r="U18" i="34"/>
  <c r="V18" i="34" s="1"/>
  <c r="U9" i="34"/>
  <c r="V9" i="34" s="1"/>
  <c r="AH6" i="34"/>
  <c r="AN43" i="34"/>
  <c r="AZ6" i="34"/>
  <c r="AE53" i="34"/>
  <c r="AN46" i="34"/>
  <c r="AH46" i="34"/>
  <c r="V46" i="34"/>
  <c r="AZ46" i="34"/>
  <c r="AT46" i="34"/>
  <c r="AE46" i="34"/>
  <c r="Y46" i="34"/>
  <c r="S46" i="34"/>
  <c r="AN44" i="34"/>
  <c r="AN42" i="34"/>
  <c r="AN40" i="34"/>
  <c r="AN36" i="34"/>
  <c r="AA49" i="34"/>
  <c r="AB49" i="34" s="1"/>
  <c r="AZ52" i="34"/>
  <c r="AT52" i="34"/>
  <c r="AE52" i="34"/>
  <c r="AB52" i="34"/>
  <c r="U47" i="34"/>
  <c r="V47" i="34" s="1"/>
  <c r="X43" i="34"/>
  <c r="Y43" i="34" s="1"/>
  <c r="AQ43" i="34"/>
  <c r="V43" i="34"/>
  <c r="AE41" i="34"/>
  <c r="AZ41" i="34"/>
  <c r="V41" i="34"/>
  <c r="AE39" i="34"/>
  <c r="AZ39" i="34"/>
  <c r="U25" i="34"/>
  <c r="V25" i="34" s="1"/>
  <c r="R25" i="34"/>
  <c r="S25" i="34" s="1"/>
  <c r="AN6" i="34"/>
  <c r="U13" i="34"/>
  <c r="V13" i="34" s="1"/>
  <c r="AK40" i="34"/>
  <c r="AE40" i="34"/>
  <c r="AT40" i="34"/>
  <c r="Y40" i="34"/>
  <c r="S40" i="34"/>
  <c r="V40" i="34"/>
  <c r="AW40" i="34"/>
  <c r="AH40" i="34"/>
  <c r="AZ44" i="34"/>
  <c r="AK41" i="34"/>
  <c r="AN41" i="34"/>
  <c r="AW39" i="34"/>
  <c r="AB39" i="34"/>
  <c r="AQ39" i="34"/>
  <c r="AT39" i="34"/>
  <c r="X36" i="34"/>
  <c r="Y36" i="34" s="1"/>
  <c r="AW41" i="34"/>
  <c r="AN39" i="34"/>
  <c r="Y6" i="34"/>
  <c r="AQ6" i="34"/>
  <c r="S6" i="34"/>
  <c r="AW6" i="34"/>
  <c r="AK6" i="34"/>
  <c r="AK42" i="34"/>
  <c r="AE42" i="34"/>
  <c r="AT42" i="34"/>
  <c r="Y42" i="34"/>
  <c r="S42" i="34"/>
  <c r="AW42" i="34"/>
  <c r="AH42" i="34"/>
  <c r="AQ42" i="34"/>
  <c r="V42" i="34"/>
  <c r="AK38" i="34"/>
  <c r="AE38" i="34"/>
  <c r="AT38" i="34"/>
  <c r="Y38" i="34"/>
  <c r="S38" i="34"/>
  <c r="AQ38" i="34"/>
  <c r="AW38" i="34"/>
  <c r="V38" i="34"/>
  <c r="AH38" i="34"/>
  <c r="AW53" i="34"/>
  <c r="AB53" i="34"/>
  <c r="AQ46" i="34"/>
  <c r="AK46" i="34"/>
  <c r="AQ51" i="34"/>
  <c r="AE47" i="34"/>
  <c r="AW52" i="34"/>
  <c r="AS43" i="34"/>
  <c r="AT43" i="34" s="1"/>
  <c r="AW43" i="34"/>
  <c r="R33" i="34"/>
  <c r="S33" i="34" s="1"/>
  <c r="X33" i="34"/>
  <c r="Y33" i="34" s="1"/>
  <c r="S43" i="34"/>
  <c r="AQ41" i="34"/>
  <c r="AT41" i="34"/>
  <c r="AW37" i="34"/>
  <c r="U37" i="34"/>
  <c r="V37" i="34" s="1"/>
  <c r="AZ36" i="34"/>
  <c r="U24" i="34"/>
  <c r="V24" i="34" s="1"/>
  <c r="U35" i="34"/>
  <c r="V35" i="34" s="1"/>
  <c r="X32" i="34"/>
  <c r="Y32" i="34" s="1"/>
  <c r="R23" i="34"/>
  <c r="S23" i="34" s="1"/>
  <c r="U23" i="34"/>
  <c r="V23" i="34" s="1"/>
  <c r="R21" i="34"/>
  <c r="S21" i="34" s="1"/>
  <c r="U21" i="34"/>
  <c r="V21" i="34" s="1"/>
  <c r="R17" i="34"/>
  <c r="S17" i="34" s="1"/>
  <c r="U17" i="34"/>
  <c r="V17" i="34" s="1"/>
  <c r="AW12" i="34"/>
  <c r="AQ12" i="34"/>
  <c r="V12" i="34"/>
  <c r="AK12" i="34"/>
  <c r="AE12" i="34"/>
  <c r="AT12" i="34"/>
  <c r="S12" i="34"/>
  <c r="AH12" i="34"/>
  <c r="AW10" i="34"/>
  <c r="AQ10" i="34"/>
  <c r="V10" i="34"/>
  <c r="AK10" i="34"/>
  <c r="AE10" i="34"/>
  <c r="AT10" i="34"/>
  <c r="AH10" i="34"/>
  <c r="AP11" i="34"/>
  <c r="AQ11" i="34" s="1"/>
  <c r="AH8" i="34"/>
  <c r="AT7" i="34"/>
  <c r="AH7" i="34"/>
  <c r="V7" i="34"/>
  <c r="AW7" i="34"/>
  <c r="AK7" i="34"/>
  <c r="Y7" i="34"/>
  <c r="S7" i="34"/>
  <c r="AQ7" i="34"/>
  <c r="AE7" i="34"/>
  <c r="X12" i="34"/>
  <c r="Y12" i="34" s="1"/>
  <c r="U15" i="34"/>
  <c r="V15" i="34" s="1"/>
  <c r="T6" i="33"/>
  <c r="AE7" i="33"/>
  <c r="AK7" i="33"/>
  <c r="AU7" i="33"/>
  <c r="AE9" i="33"/>
  <c r="AK9" i="33"/>
  <c r="AU9" i="33"/>
  <c r="BA9" i="33"/>
  <c r="T10" i="33"/>
  <c r="AE11" i="33"/>
  <c r="AK11" i="33"/>
  <c r="AU11" i="33"/>
  <c r="BA11" i="33"/>
  <c r="AE13" i="33"/>
  <c r="AK13" i="33"/>
  <c r="BA13" i="33"/>
  <c r="Z15" i="33"/>
  <c r="AE15" i="33"/>
  <c r="AK15" i="33"/>
  <c r="AU15" i="33"/>
  <c r="BA15" i="33"/>
  <c r="Z16" i="33"/>
  <c r="AE17" i="33"/>
  <c r="AK17" i="33"/>
  <c r="BA17" i="33"/>
  <c r="AE19" i="33"/>
  <c r="AK19" i="33"/>
  <c r="AU19" i="33"/>
  <c r="BA19" i="33"/>
  <c r="Z20" i="33"/>
  <c r="AE21" i="33"/>
  <c r="AK21" i="33"/>
  <c r="BA21" i="33"/>
  <c r="Z23" i="33"/>
  <c r="AE23" i="33"/>
  <c r="AK23" i="33"/>
  <c r="AU23" i="33"/>
  <c r="BA23" i="33"/>
  <c r="Z25" i="33"/>
  <c r="AE25" i="33"/>
  <c r="AK25" i="33"/>
  <c r="V7" i="33"/>
  <c r="AL7" i="33"/>
  <c r="AQ7" i="33"/>
  <c r="AW7" i="33"/>
  <c r="V9" i="33"/>
  <c r="AQ9" i="33"/>
  <c r="AW9" i="33"/>
  <c r="V11" i="33"/>
  <c r="AL11" i="33"/>
  <c r="AM11" i="33" s="1"/>
  <c r="AQ11" i="33"/>
  <c r="AW11" i="33"/>
  <c r="V13" i="33"/>
  <c r="AL13" i="33"/>
  <c r="AQ13" i="33"/>
  <c r="AW13" i="33"/>
  <c r="V15" i="33"/>
  <c r="AL15" i="33"/>
  <c r="AQ15" i="33"/>
  <c r="AW15" i="33"/>
  <c r="V17" i="33"/>
  <c r="AL17" i="33"/>
  <c r="AQ17" i="33"/>
  <c r="AW17" i="33"/>
  <c r="V19" i="33"/>
  <c r="AL19" i="33"/>
  <c r="AQ19" i="33"/>
  <c r="AW19" i="33"/>
  <c r="V21" i="33"/>
  <c r="AL21" i="33"/>
  <c r="AQ21" i="33"/>
  <c r="AW21" i="33"/>
  <c r="V23" i="33"/>
  <c r="AL23" i="33"/>
  <c r="AQ23" i="33"/>
  <c r="AW23" i="33"/>
  <c r="V25" i="33"/>
  <c r="AL25" i="33"/>
  <c r="AT25" i="33"/>
  <c r="R7" i="33"/>
  <c r="AD7" i="33" s="1"/>
  <c r="W7" i="33"/>
  <c r="X7" i="33" s="1"/>
  <c r="AC7" i="33"/>
  <c r="AH7" i="33"/>
  <c r="R9" i="33"/>
  <c r="AG9" i="33" s="1"/>
  <c r="AC9" i="33"/>
  <c r="AH9" i="33"/>
  <c r="R11" i="33"/>
  <c r="BB11" i="33" s="1"/>
  <c r="W11" i="33"/>
  <c r="AC11" i="33"/>
  <c r="AD11" i="33" s="1"/>
  <c r="AH11" i="33"/>
  <c r="R13" i="33"/>
  <c r="AC13" i="33"/>
  <c r="AH13" i="33"/>
  <c r="R15" i="33"/>
  <c r="AY15" i="33" s="1"/>
  <c r="AC15" i="33"/>
  <c r="AD15" i="33" s="1"/>
  <c r="AH15" i="33"/>
  <c r="R17" i="33"/>
  <c r="AM17" i="33" s="1"/>
  <c r="AC17" i="33"/>
  <c r="AH17" i="33"/>
  <c r="R19" i="33"/>
  <c r="AY19" i="33" s="1"/>
  <c r="W19" i="33"/>
  <c r="AC19" i="33"/>
  <c r="AH19" i="33"/>
  <c r="AM19" i="33"/>
  <c r="R21" i="33"/>
  <c r="AC21" i="33"/>
  <c r="AH21" i="33"/>
  <c r="R23" i="33"/>
  <c r="AH23" i="33"/>
  <c r="R25" i="33"/>
  <c r="AC25" i="33"/>
  <c r="AD25" i="33" s="1"/>
  <c r="AH25" i="33"/>
  <c r="AO25" i="33"/>
  <c r="AZ7" i="33"/>
  <c r="AR7" i="33"/>
  <c r="AS7" i="33" s="1"/>
  <c r="AN7" i="33"/>
  <c r="AO7" i="33" s="1"/>
  <c r="AF7" i="33"/>
  <c r="AB7" i="33"/>
  <c r="S7" i="33"/>
  <c r="T7" i="33" s="1"/>
  <c r="Y7" i="33"/>
  <c r="AI7" i="33"/>
  <c r="AT7" i="33"/>
  <c r="BB8" i="33"/>
  <c r="AZ9" i="33"/>
  <c r="AR9" i="33"/>
  <c r="AN9" i="33"/>
  <c r="AJ9" i="33"/>
  <c r="AF9" i="33"/>
  <c r="AB9" i="33"/>
  <c r="S9" i="33"/>
  <c r="Y9" i="33"/>
  <c r="AI9" i="33"/>
  <c r="AO9" i="33"/>
  <c r="AP9" i="33" s="1"/>
  <c r="AT9" i="33"/>
  <c r="AZ11" i="33"/>
  <c r="AN11" i="33"/>
  <c r="AF11" i="33"/>
  <c r="AG11" i="33" s="1"/>
  <c r="AB11" i="33"/>
  <c r="S11" i="33"/>
  <c r="T11" i="33" s="1"/>
  <c r="U11" i="33" s="1"/>
  <c r="Y11" i="33"/>
  <c r="AI11" i="33"/>
  <c r="AJ11" i="33" s="1"/>
  <c r="AO11" i="33"/>
  <c r="AP11" i="33" s="1"/>
  <c r="AT11" i="33"/>
  <c r="AZ13" i="33"/>
  <c r="AR13" i="33"/>
  <c r="AN13" i="33"/>
  <c r="AF13" i="33"/>
  <c r="AB13" i="33"/>
  <c r="S13" i="33"/>
  <c r="T13" i="33" s="1"/>
  <c r="Y13" i="33"/>
  <c r="Z13" i="33" s="1"/>
  <c r="AI13" i="33"/>
  <c r="AO13" i="33"/>
  <c r="AT13" i="33"/>
  <c r="AU13" i="33" s="1"/>
  <c r="AV13" i="33" s="1"/>
  <c r="AZ15" i="33"/>
  <c r="AR15" i="33"/>
  <c r="AN15" i="33"/>
  <c r="AF15" i="33"/>
  <c r="AB15" i="33"/>
  <c r="S15" i="33"/>
  <c r="T15" i="33" s="1"/>
  <c r="Y15" i="33"/>
  <c r="AO15" i="33"/>
  <c r="AT15" i="33"/>
  <c r="AZ17" i="33"/>
  <c r="AR17" i="33"/>
  <c r="AN17" i="33"/>
  <c r="AF17" i="33"/>
  <c r="AB17" i="33"/>
  <c r="S17" i="33"/>
  <c r="T17" i="33" s="1"/>
  <c r="Y17" i="33"/>
  <c r="AI17" i="33"/>
  <c r="AO17" i="33"/>
  <c r="AT17" i="33"/>
  <c r="AU17" i="33" s="1"/>
  <c r="AZ19" i="33"/>
  <c r="AR19" i="33"/>
  <c r="AN19" i="33"/>
  <c r="AF19" i="33"/>
  <c r="AB19" i="33"/>
  <c r="S19" i="33"/>
  <c r="T19" i="33" s="1"/>
  <c r="Y19" i="33"/>
  <c r="AI19" i="33"/>
  <c r="AT19" i="33"/>
  <c r="AZ21" i="33"/>
  <c r="AR21" i="33"/>
  <c r="AN21" i="33"/>
  <c r="AF21" i="33"/>
  <c r="AB21" i="33"/>
  <c r="S21" i="33"/>
  <c r="T21" i="33" s="1"/>
  <c r="Y21" i="33"/>
  <c r="Z21" i="33" s="1"/>
  <c r="AI21" i="33"/>
  <c r="AO21" i="33"/>
  <c r="AT21" i="33"/>
  <c r="AU21" i="33" s="1"/>
  <c r="AY21" i="33"/>
  <c r="AZ23" i="33"/>
  <c r="AR23" i="33"/>
  <c r="AN23" i="33"/>
  <c r="AF23" i="33"/>
  <c r="AB23" i="33"/>
  <c r="S23" i="33"/>
  <c r="T23" i="33" s="1"/>
  <c r="Y23" i="33"/>
  <c r="AI23" i="33"/>
  <c r="AO23" i="33"/>
  <c r="AT23" i="33"/>
  <c r="AY23" i="33"/>
  <c r="AU25" i="33"/>
  <c r="AV25" i="33" s="1"/>
  <c r="AQ25" i="33"/>
  <c r="AM25" i="33"/>
  <c r="BA25" i="33"/>
  <c r="AW25" i="33"/>
  <c r="AZ25" i="33"/>
  <c r="AR25" i="33"/>
  <c r="AN25" i="33"/>
  <c r="AB25" i="33"/>
  <c r="S25" i="33"/>
  <c r="T25" i="33" s="1"/>
  <c r="Y25" i="33"/>
  <c r="AI25" i="33"/>
  <c r="AJ25" i="33" s="1"/>
  <c r="R6" i="33"/>
  <c r="BB6" i="33" s="1"/>
  <c r="V6" i="33"/>
  <c r="AD6" i="33"/>
  <c r="AH6" i="33"/>
  <c r="AL6" i="33"/>
  <c r="AP6" i="33"/>
  <c r="AT6" i="33"/>
  <c r="AX6" i="33"/>
  <c r="R8" i="33"/>
  <c r="V8" i="33"/>
  <c r="W8" i="33" s="1"/>
  <c r="AD8" i="33"/>
  <c r="AH8" i="33"/>
  <c r="AL8" i="33"/>
  <c r="AP8" i="33"/>
  <c r="AT8" i="33"/>
  <c r="AX8" i="33"/>
  <c r="R10" i="33"/>
  <c r="BB10" i="33" s="1"/>
  <c r="V10" i="33"/>
  <c r="AD10" i="33"/>
  <c r="AH10" i="33"/>
  <c r="AL10" i="33"/>
  <c r="AP10" i="33"/>
  <c r="AT10" i="33"/>
  <c r="AX10" i="33"/>
  <c r="R12" i="33"/>
  <c r="V12" i="33"/>
  <c r="W12" i="33" s="1"/>
  <c r="AD12" i="33"/>
  <c r="AH12" i="33"/>
  <c r="AL12" i="33"/>
  <c r="AP12" i="33"/>
  <c r="AT12" i="33"/>
  <c r="AX12" i="33"/>
  <c r="R14" i="33"/>
  <c r="V14" i="33"/>
  <c r="AD14" i="33"/>
  <c r="AH14" i="33"/>
  <c r="AL14" i="33"/>
  <c r="AP14" i="33"/>
  <c r="AT14" i="33"/>
  <c r="AX14" i="33" s="1"/>
  <c r="R16" i="33"/>
  <c r="V16" i="33"/>
  <c r="AH16" i="33"/>
  <c r="AL16" i="33"/>
  <c r="AT16" i="33"/>
  <c r="AX16" i="33"/>
  <c r="R18" i="33"/>
  <c r="BB18" i="33" s="1"/>
  <c r="V18" i="33"/>
  <c r="W18" i="33" s="1"/>
  <c r="Z18" i="33"/>
  <c r="AH18" i="33"/>
  <c r="AL18" i="33" s="1"/>
  <c r="AT18" i="33"/>
  <c r="AX18" i="33"/>
  <c r="R20" i="33"/>
  <c r="V20" i="33"/>
  <c r="AH20" i="33"/>
  <c r="AL20" i="33"/>
  <c r="AT20" i="33"/>
  <c r="AX20" i="33"/>
  <c r="R22" i="33"/>
  <c r="AP22" i="33" s="1"/>
  <c r="V22" i="33"/>
  <c r="W22" i="33" s="1"/>
  <c r="AH22" i="33"/>
  <c r="AL22" i="33"/>
  <c r="AT22" i="33"/>
  <c r="AU22" i="33" s="1"/>
  <c r="AX22" i="33"/>
  <c r="R24" i="33"/>
  <c r="V24" i="33"/>
  <c r="W24" i="33" s="1"/>
  <c r="Z24" i="33"/>
  <c r="AH24" i="33"/>
  <c r="AL24" i="33"/>
  <c r="AT24" i="33"/>
  <c r="AX24" i="33"/>
  <c r="AZ26" i="33"/>
  <c r="R26" i="33"/>
  <c r="AY26" i="33" s="1"/>
  <c r="V26" i="33"/>
  <c r="W26" i="33" s="1"/>
  <c r="Z26" i="33"/>
  <c r="AH26" i="33"/>
  <c r="AL26" i="33"/>
  <c r="AT26" i="33"/>
  <c r="AZ28" i="33"/>
  <c r="BA28" i="33" s="1"/>
  <c r="BB28" i="33" s="1"/>
  <c r="AR28" i="33"/>
  <c r="AS28" i="33" s="1"/>
  <c r="AN28" i="33"/>
  <c r="AB28" i="33"/>
  <c r="X28" i="33"/>
  <c r="S28" i="33"/>
  <c r="T28" i="33" s="1"/>
  <c r="U28" i="33" s="1"/>
  <c r="Y28" i="33"/>
  <c r="AI28" i="33"/>
  <c r="AJ28" i="33" s="1"/>
  <c r="AO28" i="33"/>
  <c r="AP28" i="33" s="1"/>
  <c r="AT28" i="33"/>
  <c r="AY28" i="33"/>
  <c r="W31" i="33"/>
  <c r="AR31" i="33"/>
  <c r="AR32" i="33"/>
  <c r="AF32" i="33"/>
  <c r="R32" i="33"/>
  <c r="AS32" i="33" s="1"/>
  <c r="AC32" i="33"/>
  <c r="AX32" i="33"/>
  <c r="AA33" i="33"/>
  <c r="AV33" i="33"/>
  <c r="BB33" i="33"/>
  <c r="AF34" i="33"/>
  <c r="BA34" i="33"/>
  <c r="AF35" i="33"/>
  <c r="BA35" i="33"/>
  <c r="T36" i="33"/>
  <c r="Z36" i="33"/>
  <c r="AI36" i="33"/>
  <c r="AO36" i="33"/>
  <c r="BB37" i="33"/>
  <c r="AR38" i="33"/>
  <c r="V39" i="33"/>
  <c r="AL39" i="33"/>
  <c r="AM39" i="33" s="1"/>
  <c r="BA42" i="33"/>
  <c r="AU46" i="33"/>
  <c r="AX46" i="33"/>
  <c r="AY46" i="33" s="1"/>
  <c r="AR46" i="33"/>
  <c r="AS46" i="33" s="1"/>
  <c r="AI46" i="33"/>
  <c r="T46" i="33"/>
  <c r="AL46" i="33"/>
  <c r="V46" i="33"/>
  <c r="W46" i="33" s="1"/>
  <c r="AF46" i="33"/>
  <c r="Z46" i="33"/>
  <c r="AA46" i="33" s="1"/>
  <c r="AO46" i="33"/>
  <c r="BA46" i="33"/>
  <c r="BB46" i="33" s="1"/>
  <c r="R46" i="33"/>
  <c r="AF28" i="33"/>
  <c r="AG28" i="33" s="1"/>
  <c r="AX31" i="33"/>
  <c r="AL31" i="33"/>
  <c r="AM31" i="33" s="1"/>
  <c r="V31" i="33"/>
  <c r="R31" i="33"/>
  <c r="X31" i="33" s="1"/>
  <c r="T31" i="33"/>
  <c r="AC31" i="33"/>
  <c r="W33" i="33"/>
  <c r="X33" i="33" s="1"/>
  <c r="AR34" i="33"/>
  <c r="V35" i="33"/>
  <c r="AL35" i="33"/>
  <c r="AU36" i="33"/>
  <c r="BA36" i="33"/>
  <c r="AU38" i="33"/>
  <c r="AI38" i="33"/>
  <c r="AX38" i="33"/>
  <c r="AL38" i="33"/>
  <c r="V38" i="33"/>
  <c r="W38" i="33" s="1"/>
  <c r="R38" i="33"/>
  <c r="BA38" i="33"/>
  <c r="AO39" i="33"/>
  <c r="AP39" i="33" s="1"/>
  <c r="V42" i="33"/>
  <c r="Z42" i="33" s="1"/>
  <c r="AL42" i="33"/>
  <c r="Z31" i="33"/>
  <c r="AA31" i="33" s="1"/>
  <c r="AX34" i="33"/>
  <c r="AL34" i="33"/>
  <c r="V34" i="33"/>
  <c r="R34" i="33"/>
  <c r="AY34" i="33" s="1"/>
  <c r="AC34" i="33"/>
  <c r="AI34" i="33"/>
  <c r="AU35" i="33"/>
  <c r="AI35" i="33"/>
  <c r="W35" i="33"/>
  <c r="T35" i="33"/>
  <c r="R35" i="33"/>
  <c r="AJ35" i="33" s="1"/>
  <c r="AC35" i="33"/>
  <c r="AX35" i="33"/>
  <c r="AL36" i="33"/>
  <c r="AY40" i="33"/>
  <c r="AR42" i="33"/>
  <c r="AF42" i="33"/>
  <c r="AU42" i="33"/>
  <c r="AI42" i="33"/>
  <c r="W42" i="33"/>
  <c r="T42" i="33"/>
  <c r="AX42" i="33"/>
  <c r="R42" i="33"/>
  <c r="BB42" i="33" s="1"/>
  <c r="AC42" i="33"/>
  <c r="AM28" i="33"/>
  <c r="AF31" i="33"/>
  <c r="BA31" i="33"/>
  <c r="T33" i="33"/>
  <c r="U33" i="33" s="1"/>
  <c r="AU34" i="33"/>
  <c r="AO35" i="33"/>
  <c r="AF36" i="33"/>
  <c r="R36" i="33"/>
  <c r="W36" i="33"/>
  <c r="AC36" i="33"/>
  <c r="AX36" i="33"/>
  <c r="AO38" i="33"/>
  <c r="AR39" i="33"/>
  <c r="AS39" i="33" s="1"/>
  <c r="AF39" i="33"/>
  <c r="AG39" i="33" s="1"/>
  <c r="AY39" i="33"/>
  <c r="AU39" i="33"/>
  <c r="AV39" i="33" s="1"/>
  <c r="AC39" i="33"/>
  <c r="AD39" i="33" s="1"/>
  <c r="BA39" i="33"/>
  <c r="BB39" i="33" s="1"/>
  <c r="R27" i="33"/>
  <c r="BB27" i="33" s="1"/>
  <c r="V27" i="33"/>
  <c r="Z27" i="33" s="1"/>
  <c r="AH27" i="33"/>
  <c r="AL27" i="33" s="1"/>
  <c r="AT27" i="33"/>
  <c r="AX27" i="33"/>
  <c r="Y30" i="33"/>
  <c r="AC30" i="33"/>
  <c r="AD30" i="33" s="1"/>
  <c r="AK30" i="33"/>
  <c r="AO30" i="33"/>
  <c r="AP30" i="33" s="1"/>
  <c r="AW30" i="33"/>
  <c r="AC33" i="33"/>
  <c r="AD33" i="33" s="1"/>
  <c r="AL33" i="33"/>
  <c r="AM33" i="33" s="1"/>
  <c r="AO33" i="33"/>
  <c r="AP33" i="33" s="1"/>
  <c r="Z37" i="33"/>
  <c r="AA37" i="33" s="1"/>
  <c r="AC37" i="33"/>
  <c r="AD37" i="33" s="1"/>
  <c r="AG37" i="33"/>
  <c r="AO37" i="33"/>
  <c r="AP37" i="33" s="1"/>
  <c r="AS37" i="33"/>
  <c r="X40" i="33"/>
  <c r="AF40" i="33"/>
  <c r="AG40" i="33" s="1"/>
  <c r="AJ40" i="33"/>
  <c r="AO40" i="33"/>
  <c r="AP40" i="33" s="1"/>
  <c r="AV40" i="33"/>
  <c r="AU41" i="33"/>
  <c r="AI41" i="33"/>
  <c r="W41" i="33"/>
  <c r="AX41" i="33"/>
  <c r="R41" i="33"/>
  <c r="AC41" i="33"/>
  <c r="AL41" i="33"/>
  <c r="AO41" i="33"/>
  <c r="BA41" i="33"/>
  <c r="AJ43" i="33"/>
  <c r="T45" i="33"/>
  <c r="AC45" i="33"/>
  <c r="AX53" i="33"/>
  <c r="V53" i="33"/>
  <c r="R53" i="33"/>
  <c r="AJ53" i="33" s="1"/>
  <c r="AU53" i="33"/>
  <c r="AO53" i="33"/>
  <c r="BA53" i="33"/>
  <c r="AF53" i="33"/>
  <c r="AR53" i="33"/>
  <c r="AM53" i="33"/>
  <c r="AC53" i="33"/>
  <c r="W53" i="33"/>
  <c r="X53" i="33" s="1"/>
  <c r="AU54" i="33"/>
  <c r="AI54" i="33"/>
  <c r="W54" i="33"/>
  <c r="T54" i="33"/>
  <c r="AR54" i="33"/>
  <c r="V54" i="33"/>
  <c r="Z54" i="33" s="1"/>
  <c r="AO54" i="33"/>
  <c r="AX54" i="33"/>
  <c r="AC54" i="33"/>
  <c r="R54" i="33"/>
  <c r="BB54" i="33" s="1"/>
  <c r="U40" i="33"/>
  <c r="Z40" i="33"/>
  <c r="AA40" i="33" s="1"/>
  <c r="AC40" i="33"/>
  <c r="AD40" i="33" s="1"/>
  <c r="AO45" i="33"/>
  <c r="AX45" i="33"/>
  <c r="AL45" i="33"/>
  <c r="V45" i="33"/>
  <c r="R45" i="33"/>
  <c r="AG45" i="33" s="1"/>
  <c r="AR45" i="33"/>
  <c r="BA45" i="33"/>
  <c r="AF45" i="33"/>
  <c r="AI45" i="33"/>
  <c r="BA44" i="33"/>
  <c r="AO44" i="33"/>
  <c r="AC44" i="33"/>
  <c r="V44" i="33"/>
  <c r="W44" i="33" s="1"/>
  <c r="AF44" i="33"/>
  <c r="AL44" i="33"/>
  <c r="AU44" i="33"/>
  <c r="AF47" i="33"/>
  <c r="AG47" i="33" s="1"/>
  <c r="X47" i="33"/>
  <c r="BA47" i="33"/>
  <c r="AU47" i="33"/>
  <c r="T47" i="33"/>
  <c r="U47" i="33" s="1"/>
  <c r="AO47" i="33"/>
  <c r="X48" i="33"/>
  <c r="AJ48" i="33"/>
  <c r="BB48" i="33"/>
  <c r="Z43" i="33"/>
  <c r="AA43" i="33" s="1"/>
  <c r="AC43" i="33"/>
  <c r="AO43" i="33"/>
  <c r="AP43" i="33" s="1"/>
  <c r="R44" i="33"/>
  <c r="U44" i="33" s="1"/>
  <c r="AR44" i="33"/>
  <c r="AX44" i="33"/>
  <c r="V47" i="33"/>
  <c r="AC47" i="33"/>
  <c r="AD47" i="33" s="1"/>
  <c r="AI47" i="33"/>
  <c r="AR47" i="33"/>
  <c r="AS47" i="33" s="1"/>
  <c r="AX47" i="33"/>
  <c r="AV48" i="33"/>
  <c r="AV51" i="33"/>
  <c r="AR51" i="33"/>
  <c r="AS51" i="33" s="1"/>
  <c r="AF51" i="33"/>
  <c r="AG51" i="33" s="1"/>
  <c r="BB51" i="33"/>
  <c r="AL51" i="33"/>
  <c r="AM51" i="33" s="1"/>
  <c r="AA51" i="33"/>
  <c r="V51" i="33"/>
  <c r="W51" i="33" s="1"/>
  <c r="X51" i="33" s="1"/>
  <c r="T51" i="33"/>
  <c r="U51" i="33" s="1"/>
  <c r="Z51" i="33"/>
  <c r="AO51" i="33"/>
  <c r="AP51" i="33" s="1"/>
  <c r="AU51" i="33"/>
  <c r="AJ52" i="33"/>
  <c r="BB52" i="33"/>
  <c r="AX49" i="33"/>
  <c r="AL49" i="33"/>
  <c r="V49" i="33"/>
  <c r="Z49" i="33" s="1"/>
  <c r="R49" i="33"/>
  <c r="BB49" i="33" s="1"/>
  <c r="T49" i="33"/>
  <c r="AC49" i="33"/>
  <c r="AI49" i="33"/>
  <c r="AU50" i="33"/>
  <c r="AI50" i="33"/>
  <c r="T50" i="33"/>
  <c r="R50" i="33"/>
  <c r="AA50" i="33" s="1"/>
  <c r="AX50" i="33"/>
  <c r="AC48" i="33"/>
  <c r="AD48" i="33" s="1"/>
  <c r="AG48" i="33"/>
  <c r="AO48" i="33"/>
  <c r="AP48" i="33" s="1"/>
  <c r="AX48" i="33"/>
  <c r="AY48" i="33" s="1"/>
  <c r="U52" i="33"/>
  <c r="AC52" i="33"/>
  <c r="AO52" i="33"/>
  <c r="AP52" i="33" s="1"/>
  <c r="S31" i="32"/>
  <c r="T31" i="32" s="1"/>
  <c r="AC31" i="32"/>
  <c r="AN31" i="32"/>
  <c r="BA31" i="32"/>
  <c r="AE31" i="32"/>
  <c r="AQ31" i="32"/>
  <c r="W31" i="32"/>
  <c r="AI31" i="32"/>
  <c r="AU31" i="32"/>
  <c r="AB31" i="32"/>
  <c r="AK31" i="32"/>
  <c r="AW31" i="32"/>
  <c r="AQ32" i="32"/>
  <c r="V30" i="32"/>
  <c r="AQ30" i="32"/>
  <c r="AF32" i="32"/>
  <c r="AC33" i="32"/>
  <c r="BA33" i="32"/>
  <c r="S35" i="32"/>
  <c r="T35" i="32" s="1"/>
  <c r="AE35" i="32"/>
  <c r="AU35" i="32"/>
  <c r="S37" i="32"/>
  <c r="T37" i="32" s="1"/>
  <c r="AN37" i="32"/>
  <c r="AX42" i="32"/>
  <c r="AE30" i="32"/>
  <c r="AU30" i="32"/>
  <c r="Y31" i="32"/>
  <c r="AF31" i="32"/>
  <c r="V32" i="32"/>
  <c r="AH32" i="32"/>
  <c r="AX32" i="32"/>
  <c r="R33" i="32"/>
  <c r="AY33" i="32" s="1"/>
  <c r="AF33" i="32"/>
  <c r="AR33" i="32"/>
  <c r="AC34" i="32"/>
  <c r="AX34" i="32"/>
  <c r="Y35" i="32"/>
  <c r="AF35" i="32"/>
  <c r="AO35" i="32"/>
  <c r="AW35" i="32"/>
  <c r="Y37" i="32"/>
  <c r="AF37" i="32"/>
  <c r="AO37" i="32"/>
  <c r="AZ37" i="32"/>
  <c r="R38" i="32"/>
  <c r="AC39" i="32"/>
  <c r="AN39" i="32"/>
  <c r="AC40" i="32"/>
  <c r="AB41" i="32"/>
  <c r="AI41" i="32"/>
  <c r="AR41" i="32"/>
  <c r="W42" i="32"/>
  <c r="AB43" i="32"/>
  <c r="AI43" i="32"/>
  <c r="AQ43" i="32"/>
  <c r="BA43" i="32"/>
  <c r="AB45" i="32"/>
  <c r="AI45" i="32"/>
  <c r="AQ45" i="32"/>
  <c r="AN47" i="32"/>
  <c r="R48" i="32"/>
  <c r="AB49" i="32"/>
  <c r="R50" i="32"/>
  <c r="W53" i="32"/>
  <c r="AI53" i="32"/>
  <c r="AU53" i="32"/>
  <c r="BA30" i="32"/>
  <c r="BA35" i="32"/>
  <c r="AK30" i="32"/>
  <c r="AW30" i="32"/>
  <c r="AB32" i="32"/>
  <c r="AL32" i="32"/>
  <c r="AZ32" i="32"/>
  <c r="V33" i="32"/>
  <c r="AH33" i="32"/>
  <c r="AL33" i="32" s="1"/>
  <c r="AM33" i="32" s="1"/>
  <c r="AW33" i="32"/>
  <c r="AB35" i="32"/>
  <c r="AI35" i="32"/>
  <c r="AQ35" i="32"/>
  <c r="AR35" i="32" s="1"/>
  <c r="AZ35" i="32"/>
  <c r="AB37" i="32"/>
  <c r="AI37" i="32"/>
  <c r="AQ37" i="32"/>
  <c r="BA37" i="32"/>
  <c r="AC42" i="32"/>
  <c r="AC43" i="32"/>
  <c r="AK43" i="32"/>
  <c r="AN48" i="32"/>
  <c r="AN49" i="32"/>
  <c r="AT50" i="32"/>
  <c r="AB53" i="32"/>
  <c r="AN53" i="32"/>
  <c r="AZ53" i="32"/>
  <c r="AL30" i="32"/>
  <c r="AE32" i="32"/>
  <c r="AC35" i="32"/>
  <c r="AK35" i="32"/>
  <c r="AC37" i="32"/>
  <c r="AK37" i="32"/>
  <c r="AR37" i="32"/>
  <c r="AH42" i="32"/>
  <c r="AO48" i="32"/>
  <c r="AE53" i="32"/>
  <c r="AQ53" i="32"/>
  <c r="R32" i="32"/>
  <c r="AM32" i="32" s="1"/>
  <c r="AE37" i="32"/>
  <c r="AC10" i="32"/>
  <c r="AR10" i="32"/>
  <c r="AB11" i="32"/>
  <c r="AR15" i="32"/>
  <c r="AR9" i="32"/>
  <c r="AC6" i="32"/>
  <c r="AB7" i="32"/>
  <c r="AQ7" i="32"/>
  <c r="AC8" i="32"/>
  <c r="R9" i="32"/>
  <c r="AH9" i="32"/>
  <c r="AX9" i="32"/>
  <c r="V10" i="32"/>
  <c r="AL10" i="32"/>
  <c r="AX10" i="32"/>
  <c r="AH11" i="32"/>
  <c r="AF13" i="32"/>
  <c r="AR13" i="32"/>
  <c r="R14" i="32"/>
  <c r="AP14" i="32" s="1"/>
  <c r="AW14" i="32"/>
  <c r="AN15" i="32"/>
  <c r="Y16" i="32"/>
  <c r="AE17" i="32"/>
  <c r="AC18" i="32"/>
  <c r="AW18" i="32"/>
  <c r="AF19" i="32"/>
  <c r="AO20" i="32"/>
  <c r="AF21" i="32"/>
  <c r="R6" i="32"/>
  <c r="BB6" i="32" s="1"/>
  <c r="AH6" i="32"/>
  <c r="AW6" i="32"/>
  <c r="R7" i="32"/>
  <c r="AM7" i="32" s="1"/>
  <c r="AF7" i="32"/>
  <c r="R8" i="32"/>
  <c r="AM8" i="32" s="1"/>
  <c r="AH8" i="32"/>
  <c r="V9" i="32"/>
  <c r="AI9" i="32"/>
  <c r="AB10" i="32"/>
  <c r="AN10" i="32"/>
  <c r="W11" i="32"/>
  <c r="AL11" i="32"/>
  <c r="AC12" i="32"/>
  <c r="AD12" i="32" s="1"/>
  <c r="R13" i="32"/>
  <c r="AM13" i="32" s="1"/>
  <c r="AH13" i="32"/>
  <c r="Y14" i="32"/>
  <c r="AB15" i="32"/>
  <c r="AQ15" i="32"/>
  <c r="AC16" i="32"/>
  <c r="AX16" i="32"/>
  <c r="S17" i="32"/>
  <c r="T17" i="32" s="1"/>
  <c r="AF17" i="32"/>
  <c r="AR17" i="32"/>
  <c r="R18" i="32"/>
  <c r="AP18" i="32" s="1"/>
  <c r="AH18" i="32"/>
  <c r="AL18" i="32" s="1"/>
  <c r="W19" i="32"/>
  <c r="AI19" i="32"/>
  <c r="AU19" i="32"/>
  <c r="Y20" i="32"/>
  <c r="AW20" i="32"/>
  <c r="S21" i="32"/>
  <c r="T21" i="32" s="1"/>
  <c r="AI21" i="32"/>
  <c r="AZ21" i="32"/>
  <c r="AC22" i="32"/>
  <c r="BA22" i="32"/>
  <c r="AB23" i="32"/>
  <c r="AN23" i="32"/>
  <c r="AZ23" i="32"/>
  <c r="AB25" i="32"/>
  <c r="AQ25" i="32"/>
  <c r="V27" i="32"/>
  <c r="AU27" i="32"/>
  <c r="Y28" i="32"/>
  <c r="AI28" i="32"/>
  <c r="AQ28" i="32"/>
  <c r="AQ11" i="32"/>
  <c r="AE15" i="32"/>
  <c r="AH16" i="32"/>
  <c r="BA16" i="32"/>
  <c r="AE25" i="32"/>
  <c r="AF25" i="32" s="1"/>
  <c r="AR25" i="32"/>
  <c r="R10" i="32"/>
  <c r="AM10" i="32" s="1"/>
  <c r="AH10" i="32"/>
  <c r="R11" i="32"/>
  <c r="AM11" i="32" s="1"/>
  <c r="AF11" i="32"/>
  <c r="AX11" i="32"/>
  <c r="S15" i="32"/>
  <c r="T15" i="32" s="1"/>
  <c r="AF15" i="32"/>
  <c r="AU15" i="32"/>
  <c r="R16" i="32"/>
  <c r="AY16" i="32" s="1"/>
  <c r="AK16" i="32"/>
  <c r="AE19" i="32"/>
  <c r="AQ19" i="32"/>
  <c r="AE21" i="32"/>
  <c r="AQ21" i="32"/>
  <c r="AO22" i="32"/>
  <c r="AF23" i="32"/>
  <c r="AR23" i="32"/>
  <c r="S25" i="32"/>
  <c r="T25" i="32" s="1"/>
  <c r="AI25" i="32"/>
  <c r="AU25" i="32"/>
  <c r="AK27" i="32"/>
  <c r="BA27" i="32"/>
  <c r="AR6" i="32"/>
  <c r="S19" i="32"/>
  <c r="T19" i="32" s="1"/>
  <c r="Y22" i="32"/>
  <c r="S23" i="32"/>
  <c r="T23" i="32" s="1"/>
  <c r="AI23" i="32"/>
  <c r="AN25" i="32"/>
  <c r="AQ27" i="32"/>
  <c r="AF28" i="32"/>
  <c r="AS10" i="32"/>
  <c r="Y6" i="32"/>
  <c r="AO6" i="32"/>
  <c r="AP6" i="32" s="1"/>
  <c r="AT6" i="32"/>
  <c r="AW7" i="32"/>
  <c r="AS7" i="32"/>
  <c r="AK7" i="32"/>
  <c r="AG7" i="32"/>
  <c r="AC7" i="32"/>
  <c r="AD7" i="32" s="1"/>
  <c r="Y7" i="32"/>
  <c r="Z7" i="32" s="1"/>
  <c r="AA7" i="32" s="1"/>
  <c r="S7" i="32"/>
  <c r="T7" i="32" s="1"/>
  <c r="U7" i="32" s="1"/>
  <c r="X7" i="32"/>
  <c r="AI7" i="32"/>
  <c r="AT7" i="32"/>
  <c r="AY7" i="32"/>
  <c r="AY8" i="32"/>
  <c r="AU8" i="32"/>
  <c r="AQ8" i="32"/>
  <c r="AR8" i="32" s="1"/>
  <c r="AI8" i="32"/>
  <c r="AE8" i="32"/>
  <c r="S8" i="32"/>
  <c r="W8" i="32" s="1"/>
  <c r="T8" i="32"/>
  <c r="Y8" i="32"/>
  <c r="Z8" i="32" s="1"/>
  <c r="AO8" i="32"/>
  <c r="AT8" i="32"/>
  <c r="AZ8" i="32"/>
  <c r="BA9" i="32"/>
  <c r="AW9" i="32"/>
  <c r="AO9" i="32"/>
  <c r="AK9" i="32"/>
  <c r="AG9" i="32"/>
  <c r="AC9" i="32"/>
  <c r="Y9" i="32"/>
  <c r="S9" i="32"/>
  <c r="AN9" i="32"/>
  <c r="AT9" i="32"/>
  <c r="AY10" i="32"/>
  <c r="AU10" i="32"/>
  <c r="AQ10" i="32"/>
  <c r="AI10" i="32"/>
  <c r="AE10" i="32"/>
  <c r="W10" i="32"/>
  <c r="S10" i="32"/>
  <c r="Y10" i="32"/>
  <c r="AD10" i="32"/>
  <c r="AT10" i="32"/>
  <c r="AZ10" i="32"/>
  <c r="BA11" i="32"/>
  <c r="AW11" i="32"/>
  <c r="AO11" i="32"/>
  <c r="AK11" i="32"/>
  <c r="AC11" i="32"/>
  <c r="AD11" i="32" s="1"/>
  <c r="Y11" i="32"/>
  <c r="Z11" i="32" s="1"/>
  <c r="AA11" i="32" s="1"/>
  <c r="S11" i="32"/>
  <c r="T11" i="32" s="1"/>
  <c r="AI11" i="32"/>
  <c r="AN11" i="32"/>
  <c r="AT11" i="32"/>
  <c r="AY12" i="32"/>
  <c r="AU12" i="32"/>
  <c r="AV12" i="32" s="1"/>
  <c r="AQ12" i="32"/>
  <c r="AR12" i="32" s="1"/>
  <c r="AS12" i="32" s="1"/>
  <c r="AM12" i="32"/>
  <c r="AI12" i="32"/>
  <c r="AE12" i="32"/>
  <c r="S12" i="32"/>
  <c r="T12" i="32" s="1"/>
  <c r="U12" i="32" s="1"/>
  <c r="Y12" i="32"/>
  <c r="Z12" i="32" s="1"/>
  <c r="AA12" i="32" s="1"/>
  <c r="AJ12" i="32"/>
  <c r="AO12" i="32"/>
  <c r="AP12" i="32" s="1"/>
  <c r="AT12" i="32"/>
  <c r="AZ12" i="32"/>
  <c r="BA13" i="32"/>
  <c r="AW13" i="32"/>
  <c r="AO13" i="32"/>
  <c r="AK13" i="32"/>
  <c r="AC13" i="32"/>
  <c r="Y13" i="32"/>
  <c r="Z13" i="32" s="1"/>
  <c r="S13" i="32"/>
  <c r="AI13" i="32"/>
  <c r="AN13" i="32"/>
  <c r="AT13" i="32"/>
  <c r="AU13" i="32" s="1"/>
  <c r="AZ14" i="32"/>
  <c r="AR14" i="32"/>
  <c r="AN14" i="32"/>
  <c r="AF14" i="32"/>
  <c r="AB14" i="32"/>
  <c r="AU14" i="32"/>
  <c r="AQ14" i="32"/>
  <c r="AI14" i="32"/>
  <c r="AE14" i="32"/>
  <c r="S14" i="32"/>
  <c r="T14" i="32" s="1"/>
  <c r="U14" i="32"/>
  <c r="AC14" i="32"/>
  <c r="AK14" i="32"/>
  <c r="BA14" i="32"/>
  <c r="AK6" i="32"/>
  <c r="AE7" i="32"/>
  <c r="AJ7" i="32"/>
  <c r="AU7" i="32"/>
  <c r="AZ7" i="32"/>
  <c r="AF8" i="32"/>
  <c r="AK8" i="32"/>
  <c r="AV8" i="32"/>
  <c r="BA8" i="32"/>
  <c r="AE9" i="32"/>
  <c r="AU9" i="32"/>
  <c r="AZ9" i="32"/>
  <c r="AF10" i="32"/>
  <c r="AK10" i="32"/>
  <c r="AV10" i="32"/>
  <c r="BA10" i="32"/>
  <c r="BB10" i="32" s="1"/>
  <c r="AE11" i="32"/>
  <c r="AP11" i="32"/>
  <c r="AU11" i="32"/>
  <c r="AV11" i="32" s="1"/>
  <c r="AZ11" i="32"/>
  <c r="AF12" i="32"/>
  <c r="AK12" i="32"/>
  <c r="BA12" i="32"/>
  <c r="BB12" i="32" s="1"/>
  <c r="AE13" i="32"/>
  <c r="AZ13" i="32"/>
  <c r="V14" i="32"/>
  <c r="AL14" i="32"/>
  <c r="AM14" i="32" s="1"/>
  <c r="AT14" i="32"/>
  <c r="AX14" i="32" s="1"/>
  <c r="AZ16" i="32"/>
  <c r="AR16" i="32"/>
  <c r="AN16" i="32"/>
  <c r="AO16" i="32" s="1"/>
  <c r="AP16" i="32" s="1"/>
  <c r="AF16" i="32"/>
  <c r="AB16" i="32"/>
  <c r="AU16" i="32"/>
  <c r="AV16" i="32" s="1"/>
  <c r="AQ16" i="32"/>
  <c r="AI16" i="32"/>
  <c r="AE16" i="32"/>
  <c r="W16" i="32"/>
  <c r="X16" i="32" s="1"/>
  <c r="S16" i="32"/>
  <c r="T16" i="32" s="1"/>
  <c r="U16" i="32" s="1"/>
  <c r="V16" i="32"/>
  <c r="AL16" i="32"/>
  <c r="AM16" i="32" s="1"/>
  <c r="AT16" i="32"/>
  <c r="AX18" i="32"/>
  <c r="AZ18" i="32"/>
  <c r="AR18" i="32"/>
  <c r="AS18" i="32" s="1"/>
  <c r="AN18" i="32"/>
  <c r="AF18" i="32"/>
  <c r="AB18" i="32"/>
  <c r="AU18" i="32"/>
  <c r="AV18" i="32" s="1"/>
  <c r="AQ18" i="32"/>
  <c r="AI18" i="32"/>
  <c r="AE18" i="32"/>
  <c r="AA18" i="32"/>
  <c r="S18" i="32"/>
  <c r="T18" i="32" s="1"/>
  <c r="U18" i="32" s="1"/>
  <c r="V18" i="32"/>
  <c r="AT18" i="32"/>
  <c r="AV7" i="32"/>
  <c r="BB7" i="32"/>
  <c r="AG10" i="32"/>
  <c r="AG12" i="32"/>
  <c r="AV13" i="32"/>
  <c r="AU6" i="32"/>
  <c r="AV6" i="32" s="1"/>
  <c r="AQ6" i="32"/>
  <c r="AI6" i="32"/>
  <c r="AJ6" i="32" s="1"/>
  <c r="AE6" i="32"/>
  <c r="AF6" i="32" s="1"/>
  <c r="S6" i="32"/>
  <c r="AZ6" i="32"/>
  <c r="AN7" i="32"/>
  <c r="V20" i="32"/>
  <c r="AH20" i="32"/>
  <c r="AX20" i="32"/>
  <c r="V22" i="32"/>
  <c r="AH22" i="32"/>
  <c r="AX22" i="32"/>
  <c r="Y15" i="32"/>
  <c r="AC15" i="32"/>
  <c r="AK15" i="32"/>
  <c r="AO15" i="32"/>
  <c r="AW15" i="32"/>
  <c r="BA15" i="32"/>
  <c r="Y17" i="32"/>
  <c r="AC17" i="32"/>
  <c r="AK17" i="32"/>
  <c r="AO17" i="32"/>
  <c r="AW17" i="32"/>
  <c r="BA17" i="32"/>
  <c r="Y19" i="32"/>
  <c r="AC19" i="32"/>
  <c r="AK19" i="32"/>
  <c r="AO19" i="32" s="1"/>
  <c r="AW19" i="32"/>
  <c r="BA19" i="32"/>
  <c r="S20" i="32"/>
  <c r="T20" i="32" s="1"/>
  <c r="W20" i="32"/>
  <c r="AE20" i="32"/>
  <c r="AI20" i="32"/>
  <c r="AQ20" i="32"/>
  <c r="AU20" i="32"/>
  <c r="Y21" i="32"/>
  <c r="AC21" i="32"/>
  <c r="AK21" i="32"/>
  <c r="AO21" i="32"/>
  <c r="AW21" i="32"/>
  <c r="BA21" i="32"/>
  <c r="S22" i="32"/>
  <c r="T22" i="32" s="1"/>
  <c r="AE22" i="32"/>
  <c r="AI22" i="32"/>
  <c r="AQ22" i="32"/>
  <c r="Y23" i="32"/>
  <c r="AC23" i="32" s="1"/>
  <c r="AK23" i="32"/>
  <c r="AO23" i="32"/>
  <c r="AW23" i="32"/>
  <c r="BA23" i="32"/>
  <c r="S24" i="32"/>
  <c r="T24" i="32" s="1"/>
  <c r="AE24" i="32"/>
  <c r="AI24" i="32"/>
  <c r="AQ24" i="32"/>
  <c r="AU24" i="32"/>
  <c r="Y25" i="32"/>
  <c r="AC25" i="32"/>
  <c r="AK25" i="32"/>
  <c r="AO25" i="32"/>
  <c r="AW25" i="32"/>
  <c r="BA25" i="32"/>
  <c r="S26" i="32"/>
  <c r="T26" i="32" s="1"/>
  <c r="AB26" i="32"/>
  <c r="AR26" i="32"/>
  <c r="AW26" i="32"/>
  <c r="R27" i="32"/>
  <c r="W27" i="32"/>
  <c r="AC27" i="32"/>
  <c r="AH27" i="32"/>
  <c r="R30" i="32"/>
  <c r="AV30" i="32" s="1"/>
  <c r="AC30" i="32"/>
  <c r="AH30" i="32"/>
  <c r="BA32" i="32"/>
  <c r="AW32" i="32"/>
  <c r="AO32" i="32"/>
  <c r="AK32" i="32"/>
  <c r="AC32" i="32"/>
  <c r="AD32" i="32" s="1"/>
  <c r="Y32" i="32"/>
  <c r="Z32" i="32" s="1"/>
  <c r="S32" i="32"/>
  <c r="AI32" i="32"/>
  <c r="AN32" i="32"/>
  <c r="AT32" i="32"/>
  <c r="AU32" i="32" s="1"/>
  <c r="AU33" i="32"/>
  <c r="AQ33" i="32"/>
  <c r="AI33" i="32"/>
  <c r="AE33" i="32"/>
  <c r="S33" i="32"/>
  <c r="W33" i="32" s="1"/>
  <c r="X33" i="32" s="1"/>
  <c r="Y33" i="32"/>
  <c r="AJ33" i="32"/>
  <c r="AO33" i="32"/>
  <c r="AT33" i="32"/>
  <c r="AZ33" i="32"/>
  <c r="AZ34" i="32"/>
  <c r="AR34" i="32"/>
  <c r="AN34" i="32"/>
  <c r="AF34" i="32"/>
  <c r="AB34" i="32"/>
  <c r="AW34" i="32"/>
  <c r="AQ34" i="32"/>
  <c r="AL34" i="32"/>
  <c r="AG34" i="32"/>
  <c r="V34" i="32"/>
  <c r="R34" i="32"/>
  <c r="AY34" i="32" s="1"/>
  <c r="BA34" i="32"/>
  <c r="AU34" i="32"/>
  <c r="AK34" i="32"/>
  <c r="AE34" i="32"/>
  <c r="T34" i="32"/>
  <c r="AD34" i="32"/>
  <c r="R36" i="32"/>
  <c r="U36" i="32" s="1"/>
  <c r="AC36" i="32"/>
  <c r="AX36" i="32"/>
  <c r="AY36" i="32" s="1"/>
  <c r="R15" i="32"/>
  <c r="V15" i="32"/>
  <c r="W15" i="32" s="1"/>
  <c r="Z15" i="32"/>
  <c r="AH15" i="32"/>
  <c r="AI15" i="32" s="1"/>
  <c r="AL15" i="32"/>
  <c r="AT15" i="32"/>
  <c r="AX15" i="32"/>
  <c r="R17" i="32"/>
  <c r="AS17" i="32" s="1"/>
  <c r="V17" i="32"/>
  <c r="AH17" i="32"/>
  <c r="AL17" i="32"/>
  <c r="AP17" i="32"/>
  <c r="AT17" i="32"/>
  <c r="AU17" i="32" s="1"/>
  <c r="AX17" i="32"/>
  <c r="R19" i="32"/>
  <c r="AS19" i="32" s="1"/>
  <c r="V19" i="32"/>
  <c r="AH19" i="32"/>
  <c r="AL19" i="32"/>
  <c r="AT19" i="32"/>
  <c r="AX19" i="32"/>
  <c r="AB20" i="32"/>
  <c r="AF20" i="32"/>
  <c r="AN20" i="32"/>
  <c r="AZ20" i="32"/>
  <c r="R21" i="32"/>
  <c r="AG21" i="32" s="1"/>
  <c r="V21" i="32"/>
  <c r="W21" i="32" s="1"/>
  <c r="AD21" i="32"/>
  <c r="AH21" i="32"/>
  <c r="AL21" i="32"/>
  <c r="AT21" i="32"/>
  <c r="AU21" i="32" s="1"/>
  <c r="AX21" i="32"/>
  <c r="AB22" i="32"/>
  <c r="AF22" i="32"/>
  <c r="AN22" i="32"/>
  <c r="AR22" i="32"/>
  <c r="AZ22" i="32"/>
  <c r="R23" i="32"/>
  <c r="V23" i="32"/>
  <c r="Z23" i="32"/>
  <c r="AH23" i="32"/>
  <c r="AL23" i="32"/>
  <c r="AT23" i="32"/>
  <c r="AX23" i="32"/>
  <c r="AB24" i="32"/>
  <c r="AC24" i="32" s="1"/>
  <c r="AF24" i="32"/>
  <c r="AN24" i="32"/>
  <c r="AR24" i="32"/>
  <c r="AZ24" i="32"/>
  <c r="R25" i="32"/>
  <c r="V25" i="32"/>
  <c r="W25" i="32" s="1"/>
  <c r="Z25" i="32"/>
  <c r="AH25" i="32"/>
  <c r="AL25" i="32"/>
  <c r="AT25" i="32"/>
  <c r="AX25" i="32"/>
  <c r="AC26" i="32"/>
  <c r="AI26" i="32"/>
  <c r="AN26" i="32"/>
  <c r="AZ27" i="32"/>
  <c r="AR27" i="32"/>
  <c r="AS27" i="32" s="1"/>
  <c r="AN27" i="32"/>
  <c r="AF27" i="32"/>
  <c r="AB27" i="32"/>
  <c r="S27" i="32"/>
  <c r="T27" i="32" s="1"/>
  <c r="Y27" i="32"/>
  <c r="AD27" i="32"/>
  <c r="AI27" i="32"/>
  <c r="AO27" i="32"/>
  <c r="AT27" i="32"/>
  <c r="AY27" i="32"/>
  <c r="AZ30" i="32"/>
  <c r="AR30" i="32"/>
  <c r="AS30" i="32" s="1"/>
  <c r="AN30" i="32"/>
  <c r="AF30" i="32"/>
  <c r="AB30" i="32"/>
  <c r="S30" i="32"/>
  <c r="Y30" i="32"/>
  <c r="AD30" i="32"/>
  <c r="AO30" i="32"/>
  <c r="AT30" i="32"/>
  <c r="AV33" i="32"/>
  <c r="S36" i="32"/>
  <c r="T36" i="32" s="1"/>
  <c r="AO36" i="32"/>
  <c r="AP36" i="32" s="1"/>
  <c r="AK24" i="32"/>
  <c r="AO24" i="32"/>
  <c r="AW24" i="32"/>
  <c r="BA24" i="32"/>
  <c r="Y26" i="32"/>
  <c r="AE26" i="32"/>
  <c r="AF26" i="32" s="1"/>
  <c r="AO26" i="32"/>
  <c r="AU26" i="32"/>
  <c r="BB32" i="32"/>
  <c r="BB33" i="32"/>
  <c r="Z34" i="32"/>
  <c r="AH36" i="32"/>
  <c r="R20" i="32"/>
  <c r="AD20" i="32" s="1"/>
  <c r="AL20" i="32"/>
  <c r="AT20" i="32"/>
  <c r="R22" i="32"/>
  <c r="AL22" i="32"/>
  <c r="AT22" i="32"/>
  <c r="R24" i="32"/>
  <c r="BB24" i="32" s="1"/>
  <c r="V24" i="32"/>
  <c r="W24" i="32" s="1"/>
  <c r="Z24" i="32"/>
  <c r="AH24" i="32"/>
  <c r="AL24" i="32"/>
  <c r="AT24" i="32"/>
  <c r="AX24" i="32"/>
  <c r="AX26" i="32"/>
  <c r="AT26" i="32"/>
  <c r="AL26" i="32"/>
  <c r="AH26" i="32"/>
  <c r="Z26" i="32"/>
  <c r="R26" i="32"/>
  <c r="AG26" i="32" s="1"/>
  <c r="V26" i="32"/>
  <c r="AK26" i="32"/>
  <c r="AQ26" i="32"/>
  <c r="BA26" i="32"/>
  <c r="AZ36" i="32"/>
  <c r="AN36" i="32"/>
  <c r="AF36" i="32"/>
  <c r="AG36" i="32" s="1"/>
  <c r="AB36" i="32"/>
  <c r="AW36" i="32"/>
  <c r="AQ36" i="32"/>
  <c r="AL36" i="32"/>
  <c r="AM36" i="32" s="1"/>
  <c r="V36" i="32"/>
  <c r="BA36" i="32"/>
  <c r="AU36" i="32"/>
  <c r="AK36" i="32"/>
  <c r="AE36" i="32"/>
  <c r="Y36" i="32"/>
  <c r="AI36" i="32"/>
  <c r="AJ36" i="32" s="1"/>
  <c r="AT36" i="32"/>
  <c r="R28" i="32"/>
  <c r="BB28" i="32" s="1"/>
  <c r="V28" i="32"/>
  <c r="Z28" i="32"/>
  <c r="AH28" i="32"/>
  <c r="AL28" i="32"/>
  <c r="AT28" i="32"/>
  <c r="AX28" i="32"/>
  <c r="R31" i="32"/>
  <c r="V31" i="32"/>
  <c r="Z31" i="32" s="1"/>
  <c r="AH31" i="32"/>
  <c r="AL31" i="32"/>
  <c r="AT31" i="32"/>
  <c r="AX31" i="32"/>
  <c r="AE38" i="32"/>
  <c r="AK38" i="32"/>
  <c r="AU38" i="32"/>
  <c r="AV38" i="32" s="1"/>
  <c r="BA38" i="32"/>
  <c r="BB38" i="32" s="1"/>
  <c r="T39" i="32"/>
  <c r="AE40" i="32"/>
  <c r="AK40" i="32"/>
  <c r="AU40" i="32"/>
  <c r="AV40" i="32" s="1"/>
  <c r="BA40" i="32"/>
  <c r="BB40" i="32" s="1"/>
  <c r="AE42" i="32"/>
  <c r="AK42" i="32"/>
  <c r="AU42" i="32"/>
  <c r="BA42" i="32"/>
  <c r="BB42" i="32" s="1"/>
  <c r="R44" i="32"/>
  <c r="AH44" i="32"/>
  <c r="AX44" i="32"/>
  <c r="R46" i="32"/>
  <c r="Z46" i="32"/>
  <c r="AH46" i="32"/>
  <c r="AH48" i="32"/>
  <c r="AH49" i="32"/>
  <c r="AL50" i="32"/>
  <c r="AM50" i="32" s="1"/>
  <c r="V38" i="32"/>
  <c r="AL38" i="32"/>
  <c r="AM38" i="32" s="1"/>
  <c r="AQ38" i="32"/>
  <c r="AW38" i="32"/>
  <c r="V40" i="32"/>
  <c r="AL40" i="32"/>
  <c r="AM40" i="32" s="1"/>
  <c r="AQ40" i="32"/>
  <c r="AW40" i="32"/>
  <c r="V42" i="32"/>
  <c r="AL42" i="32"/>
  <c r="AM42" i="32" s="1"/>
  <c r="AQ42" i="32"/>
  <c r="AW42" i="32"/>
  <c r="S44" i="32"/>
  <c r="T44" i="32" s="1"/>
  <c r="AI44" i="32"/>
  <c r="AQ44" i="32"/>
  <c r="S46" i="32"/>
  <c r="T46" i="32" s="1"/>
  <c r="BA47" i="32"/>
  <c r="BB47" i="32" s="1"/>
  <c r="AW47" i="32"/>
  <c r="AO47" i="32"/>
  <c r="AP47" i="32" s="1"/>
  <c r="AK47" i="32"/>
  <c r="AC47" i="32"/>
  <c r="Y47" i="32"/>
  <c r="U47" i="32"/>
  <c r="AQ47" i="32"/>
  <c r="AR47" i="32" s="1"/>
  <c r="AS47" i="32" s="1"/>
  <c r="AL47" i="32"/>
  <c r="AM47" i="32" s="1"/>
  <c r="AF47" i="32"/>
  <c r="AG47" i="32" s="1"/>
  <c r="V47" i="32"/>
  <c r="X47" i="32" s="1"/>
  <c r="AZ47" i="32"/>
  <c r="AU47" i="32"/>
  <c r="AV47" i="32" s="1"/>
  <c r="AE47" i="32"/>
  <c r="AI47" i="32"/>
  <c r="AJ47" i="32" s="1"/>
  <c r="AT47" i="32"/>
  <c r="AU48" i="32"/>
  <c r="AV48" i="32" s="1"/>
  <c r="AQ48" i="32"/>
  <c r="AI48" i="32"/>
  <c r="AE48" i="32"/>
  <c r="S48" i="32"/>
  <c r="T48" i="32" s="1"/>
  <c r="U48" i="32" s="1"/>
  <c r="AW48" i="32"/>
  <c r="AR48" i="32"/>
  <c r="AS48" i="32" s="1"/>
  <c r="AL48" i="32"/>
  <c r="AM48" i="32" s="1"/>
  <c r="AB48" i="32"/>
  <c r="V48" i="32"/>
  <c r="BA48" i="32"/>
  <c r="BB48" i="32" s="1"/>
  <c r="AP48" i="32"/>
  <c r="AK48" i="32"/>
  <c r="AF48" i="32"/>
  <c r="Z48" i="32"/>
  <c r="AA48" i="32" s="1"/>
  <c r="Y48" i="32"/>
  <c r="AT48" i="32"/>
  <c r="BA49" i="32"/>
  <c r="BB49" i="32" s="1"/>
  <c r="AW49" i="32"/>
  <c r="AX49" i="32" s="1"/>
  <c r="AY49" i="32" s="1"/>
  <c r="AS49" i="32"/>
  <c r="AO49" i="32"/>
  <c r="AP49" i="32" s="1"/>
  <c r="AK49" i="32"/>
  <c r="Y49" i="32"/>
  <c r="U49" i="32"/>
  <c r="AQ49" i="32"/>
  <c r="AL49" i="32"/>
  <c r="AF49" i="32"/>
  <c r="AG49" i="32" s="1"/>
  <c r="V49" i="32"/>
  <c r="W49" i="32" s="1"/>
  <c r="X49" i="32" s="1"/>
  <c r="AZ49" i="32"/>
  <c r="AU49" i="32"/>
  <c r="AV49" i="32" s="1"/>
  <c r="AE49" i="32"/>
  <c r="AI49" i="32"/>
  <c r="AJ49" i="32" s="1"/>
  <c r="AT49" i="32"/>
  <c r="AZ50" i="32"/>
  <c r="AR50" i="32"/>
  <c r="AS50" i="32" s="1"/>
  <c r="AN50" i="32"/>
  <c r="AF50" i="32"/>
  <c r="AG50" i="32" s="1"/>
  <c r="AB50" i="32"/>
  <c r="AU50" i="32"/>
  <c r="AV50" i="32" s="1"/>
  <c r="AQ50" i="32"/>
  <c r="AI50" i="32"/>
  <c r="AJ50" i="32" s="1"/>
  <c r="AE50" i="32"/>
  <c r="S50" i="32"/>
  <c r="T50" i="32" s="1"/>
  <c r="U50" i="32" s="1"/>
  <c r="BA50" i="32"/>
  <c r="BB50" i="32" s="1"/>
  <c r="AK50" i="32"/>
  <c r="V50" i="32"/>
  <c r="AX50" i="32"/>
  <c r="AY50" i="32" s="1"/>
  <c r="AH50" i="32"/>
  <c r="Z50" i="32"/>
  <c r="AA50" i="32" s="1"/>
  <c r="Y50" i="32"/>
  <c r="AO50" i="32"/>
  <c r="AP50" i="32" s="1"/>
  <c r="BA44" i="32"/>
  <c r="AW44" i="32"/>
  <c r="AO44" i="32"/>
  <c r="AK44" i="32"/>
  <c r="AC44" i="32"/>
  <c r="Y44" i="32"/>
  <c r="U44" i="32"/>
  <c r="AZ44" i="32"/>
  <c r="AR44" i="32"/>
  <c r="AN44" i="32"/>
  <c r="AF44" i="32"/>
  <c r="AB44" i="32"/>
  <c r="V44" i="32"/>
  <c r="AL44" i="32"/>
  <c r="AM44" i="32" s="1"/>
  <c r="AT44" i="32"/>
  <c r="AU44" i="32" s="1"/>
  <c r="AV44" i="32" s="1"/>
  <c r="AU46" i="32"/>
  <c r="AQ46" i="32"/>
  <c r="AI46" i="32"/>
  <c r="AW46" i="32"/>
  <c r="AX46" i="32" s="1"/>
  <c r="AR46" i="32"/>
  <c r="AL46" i="32"/>
  <c r="Y46" i="32"/>
  <c r="AK46" i="32"/>
  <c r="AF46" i="32"/>
  <c r="AB46" i="32"/>
  <c r="V46" i="32"/>
  <c r="W46" i="32" s="1"/>
  <c r="X46" i="32" s="1"/>
  <c r="AN46" i="32"/>
  <c r="AD49" i="32"/>
  <c r="AM49" i="32"/>
  <c r="AZ38" i="32"/>
  <c r="AR38" i="32"/>
  <c r="AS38" i="32" s="1"/>
  <c r="AN38" i="32"/>
  <c r="AF38" i="32"/>
  <c r="AG38" i="32" s="1"/>
  <c r="AB38" i="32"/>
  <c r="S38" i="32"/>
  <c r="Y38" i="32"/>
  <c r="AI38" i="32"/>
  <c r="AJ38" i="32" s="1"/>
  <c r="AO38" i="32"/>
  <c r="AP38" i="32" s="1"/>
  <c r="AT38" i="32"/>
  <c r="AY38" i="32"/>
  <c r="AZ40" i="32"/>
  <c r="AN40" i="32"/>
  <c r="AO40" i="32" s="1"/>
  <c r="AF40" i="32"/>
  <c r="AG40" i="32" s="1"/>
  <c r="AB40" i="32"/>
  <c r="X40" i="32"/>
  <c r="S40" i="32"/>
  <c r="T40" i="32" s="1"/>
  <c r="U40" i="32" s="1"/>
  <c r="Y40" i="32"/>
  <c r="Z40" i="32" s="1"/>
  <c r="AA40" i="32" s="1"/>
  <c r="AD40" i="32"/>
  <c r="AI40" i="32"/>
  <c r="AJ40" i="32" s="1"/>
  <c r="AP40" i="32"/>
  <c r="AT40" i="32"/>
  <c r="AY40" i="32"/>
  <c r="AZ42" i="32"/>
  <c r="AV42" i="32"/>
  <c r="AN42" i="32"/>
  <c r="AO42" i="32" s="1"/>
  <c r="AF42" i="32"/>
  <c r="AG42" i="32" s="1"/>
  <c r="AB42" i="32"/>
  <c r="X42" i="32"/>
  <c r="S42" i="32"/>
  <c r="T42" i="32" s="1"/>
  <c r="U42" i="32" s="1"/>
  <c r="Y42" i="32"/>
  <c r="Z42" i="32" s="1"/>
  <c r="AA42" i="32" s="1"/>
  <c r="AD42" i="32"/>
  <c r="AI42" i="32"/>
  <c r="AJ42" i="32" s="1"/>
  <c r="AP42" i="32"/>
  <c r="AT42" i="32"/>
  <c r="AY42" i="32"/>
  <c r="AE44" i="32"/>
  <c r="AE46" i="32"/>
  <c r="AO46" i="32"/>
  <c r="AP46" i="32" s="1"/>
  <c r="AZ46" i="32"/>
  <c r="AD47" i="32"/>
  <c r="R35" i="32"/>
  <c r="BB35" i="32" s="1"/>
  <c r="V35" i="32"/>
  <c r="AH35" i="32"/>
  <c r="AL35" i="32"/>
  <c r="AP35" i="32"/>
  <c r="AT35" i="32"/>
  <c r="AX35" i="32"/>
  <c r="R37" i="32"/>
  <c r="BB37" i="32" s="1"/>
  <c r="V37" i="32"/>
  <c r="W37" i="32" s="1"/>
  <c r="AH37" i="32"/>
  <c r="AL37" i="32"/>
  <c r="AP37" i="32"/>
  <c r="AT37" i="32"/>
  <c r="AU37" i="32" s="1"/>
  <c r="AX37" i="32"/>
  <c r="R39" i="32"/>
  <c r="AD39" i="32" s="1"/>
  <c r="V39" i="32"/>
  <c r="W39" i="32" s="1"/>
  <c r="AH39" i="32"/>
  <c r="AI39" i="32" s="1"/>
  <c r="AL39" i="32"/>
  <c r="AP39" i="32"/>
  <c r="AT39" i="32"/>
  <c r="AX39" i="32"/>
  <c r="R41" i="32"/>
  <c r="V41" i="32"/>
  <c r="W41" i="32" s="1"/>
  <c r="AH41" i="32"/>
  <c r="AL41" i="32" s="1"/>
  <c r="AT41" i="32"/>
  <c r="AX41" i="32"/>
  <c r="R43" i="32"/>
  <c r="BB43" i="32" s="1"/>
  <c r="V43" i="32"/>
  <c r="W43" i="32" s="1"/>
  <c r="AH43" i="32"/>
  <c r="AL43" i="32"/>
  <c r="AP43" i="32"/>
  <c r="AT43" i="32"/>
  <c r="AU43" i="32" s="1"/>
  <c r="AX43" i="32"/>
  <c r="R45" i="32"/>
  <c r="AD45" i="32" s="1"/>
  <c r="V45" i="32"/>
  <c r="W45" i="32" s="1"/>
  <c r="AH45" i="32"/>
  <c r="AL45" i="32"/>
  <c r="AP45" i="32"/>
  <c r="AT45" i="32"/>
  <c r="AU45" i="32" s="1"/>
  <c r="AX45" i="32"/>
  <c r="R52" i="32"/>
  <c r="AH52" i="32"/>
  <c r="AX52" i="32"/>
  <c r="V54" i="32"/>
  <c r="AC52" i="32"/>
  <c r="AK52" i="32"/>
  <c r="AZ52" i="32"/>
  <c r="AR52" i="32"/>
  <c r="AN52" i="32"/>
  <c r="AB52" i="32"/>
  <c r="AU52" i="32"/>
  <c r="AQ52" i="32"/>
  <c r="AE52" i="32"/>
  <c r="AF52" i="32" s="1"/>
  <c r="S52" i="32"/>
  <c r="T52" i="32" s="1"/>
  <c r="V52" i="32"/>
  <c r="W52" i="32" s="1"/>
  <c r="AL52" i="32"/>
  <c r="AT52" i="32"/>
  <c r="BA54" i="32"/>
  <c r="AW54" i="32"/>
  <c r="AO54" i="32"/>
  <c r="AK54" i="32"/>
  <c r="AC54" i="32"/>
  <c r="Y54" i="32"/>
  <c r="AZ54" i="32"/>
  <c r="AR54" i="32"/>
  <c r="AN54" i="32"/>
  <c r="AF54" i="32"/>
  <c r="AB54" i="32"/>
  <c r="AU54" i="32"/>
  <c r="AQ54" i="32"/>
  <c r="AI54" i="32"/>
  <c r="AE54" i="32"/>
  <c r="W54" i="32"/>
  <c r="S54" i="32"/>
  <c r="T54" i="32" s="1"/>
  <c r="AT54" i="32"/>
  <c r="Y52" i="32"/>
  <c r="AO52" i="32"/>
  <c r="AW52" i="32"/>
  <c r="R54" i="32"/>
  <c r="AH54" i="32"/>
  <c r="AX54" i="32"/>
  <c r="Y51" i="32"/>
  <c r="AC51" i="32"/>
  <c r="AK51" i="32"/>
  <c r="AO51" i="32"/>
  <c r="AP51" i="32" s="1"/>
  <c r="AW51" i="32"/>
  <c r="BA51" i="32"/>
  <c r="Y53" i="32"/>
  <c r="AC53" i="32"/>
  <c r="AK53" i="32"/>
  <c r="AO53" i="32"/>
  <c r="AW53" i="32"/>
  <c r="BA53" i="32"/>
  <c r="R51" i="32"/>
  <c r="V51" i="32"/>
  <c r="W51" i="32" s="1"/>
  <c r="Z51" i="32"/>
  <c r="AH51" i="32"/>
  <c r="AL51" i="32"/>
  <c r="AT51" i="32"/>
  <c r="AX51" i="32"/>
  <c r="R53" i="32"/>
  <c r="U53" i="32" s="1"/>
  <c r="V53" i="32"/>
  <c r="AD53" i="32"/>
  <c r="AH53" i="32"/>
  <c r="AT53" i="32"/>
  <c r="AX53" i="32"/>
  <c r="H54" i="31"/>
  <c r="F54" i="31"/>
  <c r="H53" i="31"/>
  <c r="AP53" i="31" s="1"/>
  <c r="F53" i="31"/>
  <c r="AZ52" i="31"/>
  <c r="AY52" i="31"/>
  <c r="AS52" i="31"/>
  <c r="AN52" i="31"/>
  <c r="AK52" i="31"/>
  <c r="AJ52" i="31"/>
  <c r="Y52" i="31"/>
  <c r="X52" i="31"/>
  <c r="U52" i="31"/>
  <c r="H52" i="31"/>
  <c r="AQ52" i="31" s="1"/>
  <c r="F52" i="31"/>
  <c r="H51" i="31"/>
  <c r="F51" i="31"/>
  <c r="U50" i="31"/>
  <c r="H50" i="31"/>
  <c r="AQ50" i="31" s="1"/>
  <c r="F50" i="31"/>
  <c r="AS49" i="31"/>
  <c r="H49" i="31"/>
  <c r="F49" i="31"/>
  <c r="AZ48" i="31"/>
  <c r="AY48" i="31"/>
  <c r="AS48" i="31"/>
  <c r="AN48" i="31"/>
  <c r="AK48" i="31"/>
  <c r="AJ48" i="31"/>
  <c r="Y48" i="31"/>
  <c r="X48" i="31"/>
  <c r="U48" i="31"/>
  <c r="H48" i="31"/>
  <c r="AQ48" i="31" s="1"/>
  <c r="F48" i="31"/>
  <c r="H47" i="31"/>
  <c r="F47" i="31"/>
  <c r="AV46" i="31"/>
  <c r="AS46" i="31"/>
  <c r="AQ46" i="31"/>
  <c r="AK46" i="31"/>
  <c r="AJ46" i="31"/>
  <c r="AE46" i="31"/>
  <c r="AA46" i="31"/>
  <c r="X46" i="31"/>
  <c r="R46" i="31"/>
  <c r="S46" i="31" s="1"/>
  <c r="H46" i="31"/>
  <c r="AY46" i="31" s="1"/>
  <c r="AZ46" i="31" s="1"/>
  <c r="F46" i="31"/>
  <c r="H45" i="31"/>
  <c r="AW45" i="31" s="1"/>
  <c r="F45" i="31"/>
  <c r="AY44" i="31"/>
  <c r="AV44" i="31"/>
  <c r="AM44" i="31"/>
  <c r="AJ44" i="31"/>
  <c r="AB44" i="31"/>
  <c r="X44" i="31"/>
  <c r="H44" i="31"/>
  <c r="F44" i="31"/>
  <c r="H43" i="31"/>
  <c r="AW43" i="31" s="1"/>
  <c r="F43" i="31"/>
  <c r="AV42" i="31"/>
  <c r="AT42" i="31"/>
  <c r="AJ42" i="31"/>
  <c r="AH42" i="31"/>
  <c r="AA42" i="31"/>
  <c r="V42" i="31"/>
  <c r="H42" i="31"/>
  <c r="F42" i="31"/>
  <c r="H41" i="31"/>
  <c r="AW41" i="31" s="1"/>
  <c r="F41" i="31"/>
  <c r="AV40" i="31"/>
  <c r="AT40" i="31"/>
  <c r="AJ40" i="31"/>
  <c r="AH40" i="31"/>
  <c r="AA40" i="31"/>
  <c r="V40" i="31"/>
  <c r="H40" i="31"/>
  <c r="F40" i="31"/>
  <c r="H39" i="31"/>
  <c r="F39" i="31"/>
  <c r="AZ38" i="31"/>
  <c r="AV38" i="31"/>
  <c r="AT38" i="31"/>
  <c r="AN38" i="31"/>
  <c r="AM38" i="31"/>
  <c r="AJ38" i="31"/>
  <c r="AD38" i="31"/>
  <c r="AA38" i="31"/>
  <c r="R38" i="31"/>
  <c r="Y38" i="31" s="1"/>
  <c r="H38" i="31"/>
  <c r="F38" i="31"/>
  <c r="AS37" i="31"/>
  <c r="AN37" i="31"/>
  <c r="AD37" i="31"/>
  <c r="X37" i="31"/>
  <c r="R37" i="31"/>
  <c r="S37" i="31" s="1"/>
  <c r="H37" i="31"/>
  <c r="F37" i="31"/>
  <c r="AZ36" i="31"/>
  <c r="AV36" i="31"/>
  <c r="AM36" i="31"/>
  <c r="AJ36" i="31"/>
  <c r="AB36" i="31"/>
  <c r="AA36" i="31"/>
  <c r="H36" i="31"/>
  <c r="F36" i="31"/>
  <c r="H35" i="31"/>
  <c r="AW35" i="31" s="1"/>
  <c r="F35" i="31"/>
  <c r="AZ34" i="31"/>
  <c r="AQ34" i="31"/>
  <c r="AA34" i="31"/>
  <c r="H34" i="31"/>
  <c r="F34" i="31"/>
  <c r="H33" i="31"/>
  <c r="AW33" i="31" s="1"/>
  <c r="F33" i="31"/>
  <c r="AQ32" i="31"/>
  <c r="AH32" i="31"/>
  <c r="X32" i="31"/>
  <c r="H32" i="31"/>
  <c r="H31" i="31"/>
  <c r="AW31" i="31" s="1"/>
  <c r="F31" i="31"/>
  <c r="H30" i="31"/>
  <c r="AW30" i="31" s="1"/>
  <c r="F30" i="31"/>
  <c r="H28" i="31"/>
  <c r="AW28" i="31" s="1"/>
  <c r="F28" i="31"/>
  <c r="H27" i="31"/>
  <c r="AW27" i="31" s="1"/>
  <c r="F27" i="31"/>
  <c r="H26" i="31"/>
  <c r="AW26" i="31" s="1"/>
  <c r="F26" i="31"/>
  <c r="H25" i="31"/>
  <c r="AW25" i="31" s="1"/>
  <c r="F25" i="31"/>
  <c r="AZ24" i="31"/>
  <c r="AY24" i="31"/>
  <c r="AS24" i="31"/>
  <c r="AN24" i="31"/>
  <c r="AM24" i="31"/>
  <c r="AH24" i="31"/>
  <c r="AE24" i="31"/>
  <c r="AD24" i="31"/>
  <c r="X24" i="31"/>
  <c r="R24" i="31"/>
  <c r="S24" i="31" s="1"/>
  <c r="H24" i="31"/>
  <c r="AW24" i="31" s="1"/>
  <c r="F24" i="31"/>
  <c r="AK23" i="31"/>
  <c r="R23" i="31"/>
  <c r="S23" i="31" s="1"/>
  <c r="H23" i="31"/>
  <c r="Y23" i="31" s="1"/>
  <c r="F23" i="31"/>
  <c r="AP22" i="31"/>
  <c r="AE22" i="31"/>
  <c r="H22" i="31"/>
  <c r="F22" i="31"/>
  <c r="AW21" i="31"/>
  <c r="H21" i="31"/>
  <c r="AG21" i="31" s="1"/>
  <c r="F21" i="31"/>
  <c r="AV20" i="31"/>
  <c r="AP20" i="31"/>
  <c r="AH20" i="31"/>
  <c r="AE20" i="31"/>
  <c r="X20" i="31"/>
  <c r="V20" i="31"/>
  <c r="H20" i="31"/>
  <c r="F20" i="31"/>
  <c r="AW19" i="31"/>
  <c r="AT19" i="31"/>
  <c r="AK19" i="31"/>
  <c r="AJ19" i="31"/>
  <c r="AB19" i="31"/>
  <c r="V19" i="31"/>
  <c r="U19" i="31"/>
  <c r="H19" i="31"/>
  <c r="F19" i="31"/>
  <c r="AZ18" i="31"/>
  <c r="AV18" i="31"/>
  <c r="AT18" i="31"/>
  <c r="AQ18" i="31"/>
  <c r="AN18" i="31"/>
  <c r="AM18" i="31"/>
  <c r="AJ18" i="31"/>
  <c r="AE18" i="31"/>
  <c r="AD18" i="31"/>
  <c r="AB18" i="31"/>
  <c r="X18" i="31"/>
  <c r="R18" i="31"/>
  <c r="S18" i="31" s="1"/>
  <c r="H18" i="31"/>
  <c r="AY18" i="31" s="1"/>
  <c r="F18" i="31"/>
  <c r="AW17" i="31"/>
  <c r="AP17" i="31"/>
  <c r="AD17" i="31"/>
  <c r="AB17" i="31"/>
  <c r="H17" i="31"/>
  <c r="F17" i="31"/>
  <c r="AZ16" i="31"/>
  <c r="AT16" i="31"/>
  <c r="AQ16" i="31"/>
  <c r="AJ16" i="31"/>
  <c r="AE16" i="31"/>
  <c r="AD16" i="31"/>
  <c r="X16" i="31"/>
  <c r="V16" i="31"/>
  <c r="H16" i="31"/>
  <c r="F16" i="31"/>
  <c r="AZ15" i="31"/>
  <c r="BA15" i="31" s="1"/>
  <c r="AV15" i="31"/>
  <c r="AT15" i="31"/>
  <c r="AP15" i="31"/>
  <c r="AJ15" i="31"/>
  <c r="AG15" i="31"/>
  <c r="AH15" i="31" s="1"/>
  <c r="AD15" i="31"/>
  <c r="Y15" i="31"/>
  <c r="U15" i="31"/>
  <c r="Q15" i="31"/>
  <c r="H15" i="31"/>
  <c r="AW15" i="31" s="1"/>
  <c r="F15" i="31"/>
  <c r="AZ14" i="31"/>
  <c r="AP14" i="31"/>
  <c r="AD14" i="31"/>
  <c r="R14" i="31"/>
  <c r="S14" i="31" s="1"/>
  <c r="H14" i="31"/>
  <c r="F14" i="31"/>
  <c r="AZ13" i="31"/>
  <c r="AW13" i="31"/>
  <c r="AV13" i="31"/>
  <c r="AK13" i="31"/>
  <c r="AJ13" i="31"/>
  <c r="AG13" i="31"/>
  <c r="AB13" i="31"/>
  <c r="U13" i="31"/>
  <c r="Q13" i="31"/>
  <c r="H13" i="31"/>
  <c r="AP13" i="31" s="1"/>
  <c r="F13" i="31"/>
  <c r="AY12" i="31"/>
  <c r="AT12" i="31"/>
  <c r="AP12" i="31"/>
  <c r="AJ12" i="31"/>
  <c r="AH12" i="31"/>
  <c r="AE12" i="31"/>
  <c r="AA12" i="31"/>
  <c r="X12" i="31"/>
  <c r="R12" i="31"/>
  <c r="S12" i="31" s="1"/>
  <c r="H12" i="31"/>
  <c r="F12" i="31"/>
  <c r="AW11" i="31"/>
  <c r="AJ11" i="31"/>
  <c r="U11" i="31"/>
  <c r="H11" i="31"/>
  <c r="F11" i="31"/>
  <c r="AV10" i="31"/>
  <c r="AT10" i="31"/>
  <c r="AJ10" i="31"/>
  <c r="AH10" i="31"/>
  <c r="AA10" i="31"/>
  <c r="V10" i="31"/>
  <c r="H10" i="31"/>
  <c r="F10" i="31"/>
  <c r="H9" i="31"/>
  <c r="F9" i="31"/>
  <c r="AV8" i="31"/>
  <c r="AT8" i="31"/>
  <c r="AJ8" i="31"/>
  <c r="AH8" i="31"/>
  <c r="AA8" i="31"/>
  <c r="S8" i="31"/>
  <c r="H8" i="31"/>
  <c r="F8" i="31"/>
  <c r="H7" i="31"/>
  <c r="F7" i="31"/>
  <c r="AZ6" i="31"/>
  <c r="AV6" i="31"/>
  <c r="AT6" i="31"/>
  <c r="AN6" i="31"/>
  <c r="AM6" i="31"/>
  <c r="AJ6" i="31"/>
  <c r="AB6" i="31"/>
  <c r="AA6" i="31"/>
  <c r="R6" i="31"/>
  <c r="S6" i="31" s="1"/>
  <c r="H6" i="31"/>
  <c r="F6" i="31"/>
  <c r="M29" i="30"/>
  <c r="AW14" i="30"/>
  <c r="AQ17" i="30"/>
  <c r="AQ25" i="30"/>
  <c r="AN7" i="30"/>
  <c r="AN9" i="30"/>
  <c r="AN11" i="30"/>
  <c r="AN13" i="30"/>
  <c r="AN15" i="30"/>
  <c r="AN17" i="30"/>
  <c r="AN19" i="30"/>
  <c r="AN21" i="30"/>
  <c r="AN23" i="30"/>
  <c r="AN25" i="30"/>
  <c r="AK7" i="30"/>
  <c r="AK9" i="30"/>
  <c r="AK11" i="30"/>
  <c r="AK13" i="30"/>
  <c r="AK15" i="30"/>
  <c r="AK17" i="30"/>
  <c r="AK19" i="30"/>
  <c r="AK21" i="30"/>
  <c r="AK23" i="30"/>
  <c r="AK25" i="30"/>
  <c r="AH7" i="30"/>
  <c r="AH9" i="30"/>
  <c r="AH11" i="30"/>
  <c r="AH13" i="30"/>
  <c r="AH15" i="30"/>
  <c r="AH17" i="30"/>
  <c r="AH19" i="30"/>
  <c r="AH21" i="30"/>
  <c r="AH23" i="30"/>
  <c r="AH25" i="30"/>
  <c r="AE7" i="30"/>
  <c r="AE9" i="30"/>
  <c r="AE11" i="30"/>
  <c r="AE13" i="30"/>
  <c r="AE15" i="30"/>
  <c r="AE17" i="30"/>
  <c r="AE19" i="30"/>
  <c r="AE21" i="30"/>
  <c r="AE23" i="30"/>
  <c r="AE25" i="30"/>
  <c r="AB7" i="30"/>
  <c r="AB9" i="30"/>
  <c r="AB11" i="30"/>
  <c r="AB13" i="30"/>
  <c r="AB15" i="30"/>
  <c r="AB17" i="30"/>
  <c r="AB19" i="30"/>
  <c r="AB21" i="30"/>
  <c r="AB23" i="30"/>
  <c r="AB25" i="30"/>
  <c r="Y7" i="30"/>
  <c r="Y9" i="30"/>
  <c r="Y11" i="30"/>
  <c r="Y13" i="30"/>
  <c r="Y15" i="30"/>
  <c r="Y17" i="30"/>
  <c r="Y19" i="30"/>
  <c r="Y21" i="30"/>
  <c r="Y23" i="30"/>
  <c r="Y25" i="30"/>
  <c r="V7" i="30"/>
  <c r="V9" i="30"/>
  <c r="V11" i="30"/>
  <c r="V13" i="30"/>
  <c r="V15" i="30"/>
  <c r="V17" i="30"/>
  <c r="V19" i="30"/>
  <c r="V21" i="30"/>
  <c r="V23" i="30"/>
  <c r="V25" i="30"/>
  <c r="S10" i="30"/>
  <c r="S14" i="30"/>
  <c r="S18" i="30"/>
  <c r="S26" i="30"/>
  <c r="P7" i="30"/>
  <c r="P11" i="30"/>
  <c r="P15" i="30"/>
  <c r="P19" i="30"/>
  <c r="P23" i="30"/>
  <c r="P27" i="30"/>
  <c r="AE40" i="30"/>
  <c r="AB40" i="30"/>
  <c r="Y40" i="30"/>
  <c r="V54" i="30"/>
  <c r="AU54" i="30"/>
  <c r="H54" i="30"/>
  <c r="F54" i="30"/>
  <c r="H53" i="30"/>
  <c r="S53" i="30" s="1"/>
  <c r="F53" i="30"/>
  <c r="AI52" i="30"/>
  <c r="H52" i="30"/>
  <c r="V52" i="30" s="1"/>
  <c r="F52" i="30"/>
  <c r="H51" i="30"/>
  <c r="AK51" i="30" s="1"/>
  <c r="F51" i="30"/>
  <c r="H50" i="30"/>
  <c r="AX50" i="30" s="1"/>
  <c r="F50" i="30"/>
  <c r="H49" i="30"/>
  <c r="AF49" i="30" s="1"/>
  <c r="F49" i="30"/>
  <c r="H48" i="30"/>
  <c r="AE48" i="30" s="1"/>
  <c r="F48" i="30"/>
  <c r="H47" i="30"/>
  <c r="F47" i="30"/>
  <c r="H46" i="30"/>
  <c r="AT46" i="30" s="1"/>
  <c r="F46" i="30"/>
  <c r="H45" i="30"/>
  <c r="F45" i="30"/>
  <c r="H44" i="30"/>
  <c r="V44" i="30" s="1"/>
  <c r="F44" i="30"/>
  <c r="H43" i="30"/>
  <c r="F43" i="30"/>
  <c r="H42" i="30"/>
  <c r="F42" i="30"/>
  <c r="H41" i="30"/>
  <c r="AF41" i="30" s="1"/>
  <c r="F41" i="30"/>
  <c r="AC40" i="30"/>
  <c r="H40" i="30"/>
  <c r="V40" i="30" s="1"/>
  <c r="F40" i="30"/>
  <c r="H39" i="30"/>
  <c r="AO39" i="30" s="1"/>
  <c r="F39" i="30"/>
  <c r="H38" i="30"/>
  <c r="V38" i="30" s="1"/>
  <c r="F38" i="30"/>
  <c r="H37" i="30"/>
  <c r="F37" i="30"/>
  <c r="H36" i="30"/>
  <c r="AW36" i="30" s="1"/>
  <c r="F36" i="30"/>
  <c r="H35" i="30"/>
  <c r="F35" i="30"/>
  <c r="H34" i="30"/>
  <c r="AB34" i="30" s="1"/>
  <c r="F34" i="30"/>
  <c r="H33" i="30"/>
  <c r="S33" i="30" s="1"/>
  <c r="F33" i="30"/>
  <c r="AO32" i="30"/>
  <c r="H32" i="30"/>
  <c r="AX31" i="30"/>
  <c r="O31" i="30"/>
  <c r="H31" i="30"/>
  <c r="AU31" i="30" s="1"/>
  <c r="F31" i="30"/>
  <c r="H30" i="30"/>
  <c r="F30" i="30"/>
  <c r="H28" i="30"/>
  <c r="AW28" i="30" s="1"/>
  <c r="F28" i="30"/>
  <c r="H27" i="30"/>
  <c r="V27" i="30" s="1"/>
  <c r="F27" i="30"/>
  <c r="AO26" i="30"/>
  <c r="W26" i="30"/>
  <c r="O26" i="30"/>
  <c r="H26" i="30"/>
  <c r="F26" i="30"/>
  <c r="H25" i="30"/>
  <c r="F25" i="30"/>
  <c r="H24" i="30"/>
  <c r="F24" i="30"/>
  <c r="AX23" i="30"/>
  <c r="H23" i="30"/>
  <c r="F23" i="30"/>
  <c r="H22" i="30"/>
  <c r="S22" i="30" s="1"/>
  <c r="F22" i="30"/>
  <c r="H21" i="30"/>
  <c r="F21" i="30"/>
  <c r="H20" i="30"/>
  <c r="F20" i="30"/>
  <c r="AF19" i="30"/>
  <c r="T19" i="30"/>
  <c r="Q19" i="30"/>
  <c r="H19" i="30"/>
  <c r="F19" i="30"/>
  <c r="H18" i="30"/>
  <c r="F18" i="30"/>
  <c r="H17" i="30"/>
  <c r="F17" i="30"/>
  <c r="H16" i="30"/>
  <c r="F16" i="30"/>
  <c r="H15" i="30"/>
  <c r="F15" i="30"/>
  <c r="H14" i="30"/>
  <c r="F14" i="30"/>
  <c r="H13" i="30"/>
  <c r="F13" i="30"/>
  <c r="H12" i="30"/>
  <c r="F12" i="30"/>
  <c r="H11" i="30"/>
  <c r="F11" i="30"/>
  <c r="H10" i="30"/>
  <c r="F10" i="30"/>
  <c r="H9" i="30"/>
  <c r="F9" i="30"/>
  <c r="H8" i="30"/>
  <c r="AW8" i="30" s="1"/>
  <c r="F8" i="30"/>
  <c r="H7" i="30"/>
  <c r="F7" i="30"/>
  <c r="H6" i="30"/>
  <c r="F6" i="30"/>
  <c r="S37" i="29"/>
  <c r="H54" i="29"/>
  <c r="AW54" i="29" s="1"/>
  <c r="F54" i="29"/>
  <c r="Y53" i="29"/>
  <c r="N53" i="29"/>
  <c r="H53" i="29"/>
  <c r="AT53" i="29" s="1"/>
  <c r="F53" i="29"/>
  <c r="V52" i="29"/>
  <c r="H52" i="29"/>
  <c r="AV52" i="29" s="1"/>
  <c r="F52" i="29"/>
  <c r="H51" i="29"/>
  <c r="O51" i="29" s="1"/>
  <c r="P51" i="29" s="1"/>
  <c r="F51" i="29"/>
  <c r="AV50" i="29"/>
  <c r="X50" i="29"/>
  <c r="H50" i="29"/>
  <c r="AN50" i="29" s="1"/>
  <c r="F50" i="29"/>
  <c r="AW49" i="29"/>
  <c r="H49" i="29"/>
  <c r="F49" i="29"/>
  <c r="H48" i="29"/>
  <c r="AP48" i="29" s="1"/>
  <c r="F48" i="29"/>
  <c r="H47" i="29"/>
  <c r="F47" i="29"/>
  <c r="H46" i="29"/>
  <c r="AG46" i="29" s="1"/>
  <c r="F46" i="29"/>
  <c r="H45" i="29"/>
  <c r="F45" i="29"/>
  <c r="AV44" i="29"/>
  <c r="AG44" i="29"/>
  <c r="Y44" i="29"/>
  <c r="N44" i="29"/>
  <c r="H44" i="29"/>
  <c r="AN44" i="29" s="1"/>
  <c r="F44" i="29"/>
  <c r="H43" i="29"/>
  <c r="AS43" i="29" s="1"/>
  <c r="F43" i="29"/>
  <c r="H42" i="29"/>
  <c r="AV42" i="29" s="1"/>
  <c r="F42" i="29"/>
  <c r="AN41" i="29"/>
  <c r="O41" i="29"/>
  <c r="H41" i="29"/>
  <c r="AM41" i="29" s="1"/>
  <c r="F41" i="29"/>
  <c r="H40" i="29"/>
  <c r="AS40" i="29" s="1"/>
  <c r="F40" i="29"/>
  <c r="H39" i="29"/>
  <c r="AM39" i="29" s="1"/>
  <c r="F39" i="29"/>
  <c r="H38" i="29"/>
  <c r="X38" i="29" s="1"/>
  <c r="F38" i="29"/>
  <c r="H37" i="29"/>
  <c r="F37" i="29"/>
  <c r="AW36" i="29"/>
  <c r="AV36" i="29"/>
  <c r="AN36" i="29"/>
  <c r="AH36" i="29"/>
  <c r="AG36" i="29"/>
  <c r="Y36" i="29"/>
  <c r="R36" i="29"/>
  <c r="N36" i="29"/>
  <c r="H36" i="29"/>
  <c r="AS36" i="29" s="1"/>
  <c r="F36" i="29"/>
  <c r="H35" i="29"/>
  <c r="AT35" i="29" s="1"/>
  <c r="F35" i="29"/>
  <c r="AJ34" i="29"/>
  <c r="R34" i="29"/>
  <c r="H34" i="29"/>
  <c r="AP34" i="29" s="1"/>
  <c r="F34" i="29"/>
  <c r="H33" i="29"/>
  <c r="AW33" i="29" s="1"/>
  <c r="F33" i="29"/>
  <c r="AV32" i="29"/>
  <c r="AH32" i="29"/>
  <c r="Y32" i="29"/>
  <c r="N32" i="29"/>
  <c r="H32" i="29"/>
  <c r="AS32" i="29" s="1"/>
  <c r="AS31" i="29"/>
  <c r="AH31" i="29"/>
  <c r="U31" i="29"/>
  <c r="H31" i="29"/>
  <c r="AW31" i="29" s="1"/>
  <c r="F31" i="29"/>
  <c r="H30" i="29"/>
  <c r="F30" i="29"/>
  <c r="AN28" i="29"/>
  <c r="AE28" i="29"/>
  <c r="R28" i="29"/>
  <c r="H28" i="29"/>
  <c r="AT28" i="29" s="1"/>
  <c r="F28" i="29"/>
  <c r="AM27" i="29"/>
  <c r="AB27" i="29"/>
  <c r="R27" i="29"/>
  <c r="O27" i="29"/>
  <c r="P27" i="29" s="1"/>
  <c r="H27" i="29"/>
  <c r="AN27" i="29" s="1"/>
  <c r="F27" i="29"/>
  <c r="H26" i="29"/>
  <c r="F26" i="29"/>
  <c r="H25" i="29"/>
  <c r="AN25" i="29" s="1"/>
  <c r="F25" i="29"/>
  <c r="O24" i="29"/>
  <c r="P24" i="29" s="1"/>
  <c r="H24" i="29"/>
  <c r="U24" i="29" s="1"/>
  <c r="F24" i="29"/>
  <c r="O23" i="29"/>
  <c r="P23" i="29" s="1"/>
  <c r="H23" i="29"/>
  <c r="AD23" i="29" s="1"/>
  <c r="F23" i="29"/>
  <c r="AW22" i="29"/>
  <c r="AS22" i="29"/>
  <c r="AN22" i="29"/>
  <c r="AJ22" i="29"/>
  <c r="AG22" i="29"/>
  <c r="AE22" i="29"/>
  <c r="Y22" i="29"/>
  <c r="X22" i="29"/>
  <c r="O22" i="29"/>
  <c r="P22" i="29" s="1"/>
  <c r="H22" i="29"/>
  <c r="AM22" i="29" s="1"/>
  <c r="F22" i="29"/>
  <c r="AV21" i="29"/>
  <c r="AP21" i="29"/>
  <c r="AK21" i="29"/>
  <c r="AH21" i="29"/>
  <c r="AB21" i="29"/>
  <c r="R21" i="29"/>
  <c r="H21" i="29"/>
  <c r="F21" i="29"/>
  <c r="H20" i="29"/>
  <c r="F20" i="29"/>
  <c r="H19" i="29"/>
  <c r="O19" i="29" s="1"/>
  <c r="P19" i="29" s="1"/>
  <c r="F19" i="29"/>
  <c r="AN18" i="29"/>
  <c r="AE18" i="29"/>
  <c r="O18" i="29"/>
  <c r="P18" i="29" s="1"/>
  <c r="H18" i="29"/>
  <c r="F18" i="29"/>
  <c r="H17" i="29"/>
  <c r="AT17" i="29" s="1"/>
  <c r="F17" i="29"/>
  <c r="AS16" i="29"/>
  <c r="AM16" i="29"/>
  <c r="AE16" i="29"/>
  <c r="AD16" i="29"/>
  <c r="S16" i="29"/>
  <c r="R16" i="29"/>
  <c r="O16" i="29"/>
  <c r="P16" i="29" s="1"/>
  <c r="H16" i="29"/>
  <c r="F16" i="29"/>
  <c r="H15" i="29"/>
  <c r="F15" i="29"/>
  <c r="H14" i="29"/>
  <c r="F14" i="29"/>
  <c r="AT13" i="29"/>
  <c r="AP13" i="29"/>
  <c r="AK13" i="29"/>
  <c r="AH13" i="29"/>
  <c r="AD13" i="29"/>
  <c r="Y13" i="29"/>
  <c r="U13" i="29"/>
  <c r="N13" i="29"/>
  <c r="H13" i="29"/>
  <c r="F13" i="29"/>
  <c r="H12" i="29"/>
  <c r="AE12" i="29" s="1"/>
  <c r="F12" i="29"/>
  <c r="H11" i="29"/>
  <c r="AT11" i="29" s="1"/>
  <c r="F11" i="29"/>
  <c r="H10" i="29"/>
  <c r="AG10" i="29" s="1"/>
  <c r="F10" i="29"/>
  <c r="AW9" i="29"/>
  <c r="AP9" i="29"/>
  <c r="AJ9" i="29"/>
  <c r="R9" i="29"/>
  <c r="H9" i="29"/>
  <c r="AS9" i="29" s="1"/>
  <c r="F9" i="29"/>
  <c r="AW8" i="29"/>
  <c r="AP8" i="29"/>
  <c r="AK8" i="29"/>
  <c r="AA8" i="29"/>
  <c r="U8" i="29"/>
  <c r="O8" i="29"/>
  <c r="H8" i="29"/>
  <c r="AE8" i="29" s="1"/>
  <c r="F8" i="29"/>
  <c r="AE7" i="29"/>
  <c r="X7" i="29"/>
  <c r="H7" i="29"/>
  <c r="AP7" i="29" s="1"/>
  <c r="F7" i="29"/>
  <c r="H6" i="29"/>
  <c r="AQ6" i="29" s="1"/>
  <c r="F6" i="29"/>
  <c r="AN37" i="28"/>
  <c r="AH40" i="28"/>
  <c r="AE40" i="28"/>
  <c r="AE30" i="28"/>
  <c r="S47" i="28"/>
  <c r="H54" i="28"/>
  <c r="AS54" i="28" s="1"/>
  <c r="F54" i="28"/>
  <c r="V53" i="28"/>
  <c r="H53" i="28"/>
  <c r="AW53" i="28" s="1"/>
  <c r="F53" i="28"/>
  <c r="AN52" i="28"/>
  <c r="AD52" i="28"/>
  <c r="N52" i="28"/>
  <c r="H52" i="28"/>
  <c r="AM52" i="28" s="1"/>
  <c r="F52" i="28"/>
  <c r="H51" i="28"/>
  <c r="AV51" i="28" s="1"/>
  <c r="F51" i="28"/>
  <c r="AB50" i="28"/>
  <c r="H50" i="28"/>
  <c r="AV50" i="28" s="1"/>
  <c r="F50" i="28"/>
  <c r="AS49" i="28"/>
  <c r="H49" i="28"/>
  <c r="AW49" i="28" s="1"/>
  <c r="F49" i="28"/>
  <c r="AQ48" i="28"/>
  <c r="AD48" i="28"/>
  <c r="N48" i="28"/>
  <c r="H48" i="28"/>
  <c r="AP48" i="28" s="1"/>
  <c r="F48" i="28"/>
  <c r="H47" i="28"/>
  <c r="AS47" i="28" s="1"/>
  <c r="F47" i="28"/>
  <c r="H46" i="28"/>
  <c r="AW46" i="28" s="1"/>
  <c r="F46" i="28"/>
  <c r="AJ45" i="28"/>
  <c r="Y45" i="28"/>
  <c r="O45" i="28"/>
  <c r="P45" i="28" s="1"/>
  <c r="H45" i="28"/>
  <c r="AW45" i="28" s="1"/>
  <c r="F45" i="28"/>
  <c r="AT44" i="28"/>
  <c r="AN44" i="28"/>
  <c r="AJ44" i="28"/>
  <c r="AB44" i="28"/>
  <c r="U44" i="28"/>
  <c r="N44" i="28"/>
  <c r="H44" i="28"/>
  <c r="AW44" i="28" s="1"/>
  <c r="F44" i="28"/>
  <c r="AM43" i="28"/>
  <c r="Y43" i="28"/>
  <c r="N43" i="28"/>
  <c r="H43" i="28"/>
  <c r="AT43" i="28" s="1"/>
  <c r="F43" i="28"/>
  <c r="H42" i="28"/>
  <c r="F42" i="28"/>
  <c r="H41" i="28"/>
  <c r="F41" i="28"/>
  <c r="AJ40" i="28"/>
  <c r="H40" i="28"/>
  <c r="AT40" i="28" s="1"/>
  <c r="F40" i="28"/>
  <c r="H39" i="28"/>
  <c r="AK39" i="28" s="1"/>
  <c r="F39" i="28"/>
  <c r="AT38" i="28"/>
  <c r="AH38" i="28"/>
  <c r="X38" i="28"/>
  <c r="N38" i="28"/>
  <c r="H38" i="28"/>
  <c r="AP38" i="28" s="1"/>
  <c r="F38" i="28"/>
  <c r="AA37" i="28"/>
  <c r="H37" i="28"/>
  <c r="AM37" i="28" s="1"/>
  <c r="F37" i="28"/>
  <c r="AH36" i="28"/>
  <c r="H36" i="28"/>
  <c r="AT36" i="28" s="1"/>
  <c r="F36" i="28"/>
  <c r="H35" i="28"/>
  <c r="AS35" i="28" s="1"/>
  <c r="F35" i="28"/>
  <c r="H34" i="28"/>
  <c r="AQ34" i="28" s="1"/>
  <c r="F34" i="28"/>
  <c r="H33" i="28"/>
  <c r="AS33" i="28" s="1"/>
  <c r="F33" i="28"/>
  <c r="H32" i="28"/>
  <c r="AP32" i="28" s="1"/>
  <c r="H31" i="28"/>
  <c r="AS31" i="28" s="1"/>
  <c r="F31" i="28"/>
  <c r="H30" i="28"/>
  <c r="F30" i="28"/>
  <c r="AE28" i="28"/>
  <c r="O28" i="28"/>
  <c r="P28" i="28" s="1"/>
  <c r="H28" i="28"/>
  <c r="AN28" i="28" s="1"/>
  <c r="F28" i="28"/>
  <c r="AV27" i="28"/>
  <c r="AT27" i="28"/>
  <c r="AS27" i="28"/>
  <c r="AN27" i="28"/>
  <c r="AK27" i="28"/>
  <c r="AJ27" i="28"/>
  <c r="AD27" i="28"/>
  <c r="AB27" i="28"/>
  <c r="Y27" i="28"/>
  <c r="U27" i="28"/>
  <c r="V27" i="28" s="1"/>
  <c r="R27" i="28"/>
  <c r="N27" i="28"/>
  <c r="H27" i="28"/>
  <c r="AW27" i="28" s="1"/>
  <c r="F27" i="28"/>
  <c r="AM26" i="28"/>
  <c r="AK26" i="28"/>
  <c r="AH26" i="28"/>
  <c r="AD26" i="28"/>
  <c r="Y26" i="28"/>
  <c r="U26" i="28"/>
  <c r="R26" i="28"/>
  <c r="S26" i="28" s="1"/>
  <c r="O26" i="28"/>
  <c r="P26" i="28" s="1"/>
  <c r="N26" i="28"/>
  <c r="H26" i="28"/>
  <c r="AS26" i="28" s="1"/>
  <c r="F26" i="28"/>
  <c r="H25" i="28"/>
  <c r="F25" i="28"/>
  <c r="H24" i="28"/>
  <c r="F24" i="28"/>
  <c r="AW23" i="28"/>
  <c r="AP23" i="28"/>
  <c r="AH23" i="28"/>
  <c r="R23" i="28"/>
  <c r="H23" i="28"/>
  <c r="AS23" i="28" s="1"/>
  <c r="F23" i="28"/>
  <c r="AE22" i="28"/>
  <c r="U22" i="28"/>
  <c r="N22" i="28"/>
  <c r="H22" i="28"/>
  <c r="AP22" i="28" s="1"/>
  <c r="F22" i="28"/>
  <c r="AM21" i="28"/>
  <c r="AD21" i="28"/>
  <c r="R21" i="28"/>
  <c r="N21" i="28"/>
  <c r="H21" i="28"/>
  <c r="AP21" i="28" s="1"/>
  <c r="AQ21" i="28" s="1"/>
  <c r="F21" i="28"/>
  <c r="H20" i="28"/>
  <c r="AM20" i="28" s="1"/>
  <c r="F20" i="28"/>
  <c r="AV19" i="28"/>
  <c r="H19" i="28"/>
  <c r="AH19" i="28" s="1"/>
  <c r="F19" i="28"/>
  <c r="AS18" i="28"/>
  <c r="AD18" i="28"/>
  <c r="R18" i="28"/>
  <c r="H18" i="28"/>
  <c r="AW18" i="28" s="1"/>
  <c r="F18" i="28"/>
  <c r="AP17" i="28"/>
  <c r="R17" i="28"/>
  <c r="H17" i="28"/>
  <c r="AT17" i="28" s="1"/>
  <c r="F17" i="28"/>
  <c r="H16" i="28"/>
  <c r="AV16" i="28" s="1"/>
  <c r="F16" i="28"/>
  <c r="AT15" i="28"/>
  <c r="AN15" i="28"/>
  <c r="AG15" i="28"/>
  <c r="Y15" i="28"/>
  <c r="R15" i="28"/>
  <c r="H15" i="28"/>
  <c r="AV15" i="28" s="1"/>
  <c r="F15" i="28"/>
  <c r="H14" i="28"/>
  <c r="F14" i="28"/>
  <c r="H13" i="28"/>
  <c r="AP13" i="28" s="1"/>
  <c r="F13" i="28"/>
  <c r="AW12" i="28"/>
  <c r="AJ12" i="28"/>
  <c r="AE12" i="28"/>
  <c r="Y12" i="28"/>
  <c r="O12" i="28"/>
  <c r="P12" i="28" s="1"/>
  <c r="H12" i="28"/>
  <c r="AS12" i="28" s="1"/>
  <c r="F12" i="28"/>
  <c r="AW11" i="28"/>
  <c r="AP11" i="28"/>
  <c r="AH11" i="28"/>
  <c r="AB11" i="28"/>
  <c r="R11" i="28"/>
  <c r="H11" i="28"/>
  <c r="AT11" i="28" s="1"/>
  <c r="F11" i="28"/>
  <c r="AS10" i="28"/>
  <c r="H10" i="28"/>
  <c r="F10" i="28"/>
  <c r="H9" i="28"/>
  <c r="F9" i="28"/>
  <c r="AS8" i="28"/>
  <c r="X8" i="28"/>
  <c r="H8" i="28"/>
  <c r="AW8" i="28" s="1"/>
  <c r="F8" i="28"/>
  <c r="AV7" i="28"/>
  <c r="AS7" i="28"/>
  <c r="AN7" i="28"/>
  <c r="AH7" i="28"/>
  <c r="AD7" i="28"/>
  <c r="Y7" i="28"/>
  <c r="U7" i="28"/>
  <c r="N7" i="28"/>
  <c r="H7" i="28"/>
  <c r="AP7" i="28" s="1"/>
  <c r="F7" i="28"/>
  <c r="H6" i="28"/>
  <c r="F6" i="28"/>
  <c r="AT46" i="27"/>
  <c r="AN36" i="27"/>
  <c r="AJ35" i="27"/>
  <c r="AE39" i="27"/>
  <c r="Y50" i="27"/>
  <c r="AT54" i="27"/>
  <c r="AK54" i="27"/>
  <c r="AB54" i="27"/>
  <c r="R54" i="27"/>
  <c r="H54" i="27"/>
  <c r="AV54" i="27" s="1"/>
  <c r="F54" i="27"/>
  <c r="H53" i="27"/>
  <c r="F53" i="27"/>
  <c r="H52" i="27"/>
  <c r="AE52" i="27" s="1"/>
  <c r="F52" i="27"/>
  <c r="H51" i="27"/>
  <c r="F51" i="27"/>
  <c r="H50" i="27"/>
  <c r="F50" i="27"/>
  <c r="R49" i="27"/>
  <c r="H49" i="27"/>
  <c r="AW49" i="27" s="1"/>
  <c r="F49" i="27"/>
  <c r="H48" i="27"/>
  <c r="AV48" i="27" s="1"/>
  <c r="F48" i="27"/>
  <c r="Y47" i="27"/>
  <c r="H47" i="27"/>
  <c r="AS47" i="27" s="1"/>
  <c r="F47" i="27"/>
  <c r="H46" i="27"/>
  <c r="AJ46" i="27" s="1"/>
  <c r="F46" i="27"/>
  <c r="H45" i="27"/>
  <c r="AT45" i="27" s="1"/>
  <c r="F45" i="27"/>
  <c r="AN44" i="27"/>
  <c r="R44" i="27"/>
  <c r="H44" i="27"/>
  <c r="AS44" i="27" s="1"/>
  <c r="F44" i="27"/>
  <c r="H43" i="27"/>
  <c r="F43" i="27"/>
  <c r="H42" i="27"/>
  <c r="F42" i="27"/>
  <c r="AM41" i="27"/>
  <c r="AG41" i="27"/>
  <c r="AB41" i="27"/>
  <c r="H41" i="27"/>
  <c r="AW41" i="27" s="1"/>
  <c r="F41" i="27"/>
  <c r="H40" i="27"/>
  <c r="AW40" i="27" s="1"/>
  <c r="F40" i="27"/>
  <c r="H39" i="27"/>
  <c r="F39" i="27"/>
  <c r="AJ38" i="27"/>
  <c r="AB38" i="27"/>
  <c r="H38" i="27"/>
  <c r="N38" i="27" s="1"/>
  <c r="F38" i="27"/>
  <c r="X37" i="27"/>
  <c r="H37" i="27"/>
  <c r="AS37" i="27" s="1"/>
  <c r="F37" i="27"/>
  <c r="AV36" i="27"/>
  <c r="AH36" i="27"/>
  <c r="R36" i="27"/>
  <c r="N36" i="27"/>
  <c r="H36" i="27"/>
  <c r="S36" i="27" s="1"/>
  <c r="F36" i="27"/>
  <c r="H35" i="27"/>
  <c r="F35" i="27"/>
  <c r="H34" i="27"/>
  <c r="AQ34" i="27" s="1"/>
  <c r="F34" i="27"/>
  <c r="H33" i="27"/>
  <c r="AW33" i="27" s="1"/>
  <c r="F33" i="27"/>
  <c r="AS32" i="27"/>
  <c r="AH32" i="27"/>
  <c r="R32" i="27"/>
  <c r="H32" i="27"/>
  <c r="AV32" i="27" s="1"/>
  <c r="Y31" i="27"/>
  <c r="H31" i="27"/>
  <c r="AD31" i="27" s="1"/>
  <c r="F31" i="27"/>
  <c r="AP30" i="27"/>
  <c r="AJ30" i="27"/>
  <c r="O30" i="27"/>
  <c r="H30" i="27"/>
  <c r="AT30" i="27" s="1"/>
  <c r="F30" i="27"/>
  <c r="H28" i="27"/>
  <c r="AN28" i="27" s="1"/>
  <c r="F28" i="27"/>
  <c r="AT27" i="27"/>
  <c r="AK27" i="27"/>
  <c r="AD27" i="27"/>
  <c r="Y27" i="27"/>
  <c r="N27" i="27"/>
  <c r="H27" i="27"/>
  <c r="F27" i="27"/>
  <c r="AT26" i="27"/>
  <c r="AK26" i="27"/>
  <c r="Z26" i="27"/>
  <c r="Y26" i="27"/>
  <c r="O26" i="27"/>
  <c r="P26" i="27" s="1"/>
  <c r="N26" i="27"/>
  <c r="H26" i="27"/>
  <c r="AP26" i="27" s="1"/>
  <c r="F26" i="27"/>
  <c r="H25" i="27"/>
  <c r="AV25" i="27" s="1"/>
  <c r="F25" i="27"/>
  <c r="AW24" i="27"/>
  <c r="AM24" i="27"/>
  <c r="AJ24" i="27"/>
  <c r="AE24" i="27"/>
  <c r="AB24" i="27"/>
  <c r="O24" i="27"/>
  <c r="P24" i="27" s="1"/>
  <c r="H24" i="27"/>
  <c r="AS24" i="27" s="1"/>
  <c r="F24" i="27"/>
  <c r="AW23" i="27"/>
  <c r="AV23" i="27"/>
  <c r="AS23" i="27"/>
  <c r="AP23" i="27"/>
  <c r="AN23" i="27"/>
  <c r="AJ23" i="27"/>
  <c r="AH23" i="27"/>
  <c r="AG23" i="27"/>
  <c r="AB23" i="27"/>
  <c r="X23" i="27"/>
  <c r="Y23" i="27" s="1"/>
  <c r="U23" i="27"/>
  <c r="R23" i="27"/>
  <c r="N23" i="27"/>
  <c r="H23" i="27"/>
  <c r="AT23" i="27" s="1"/>
  <c r="F23" i="27"/>
  <c r="AW22" i="27"/>
  <c r="AT22" i="27"/>
  <c r="AA22" i="27"/>
  <c r="Y22" i="27"/>
  <c r="N22" i="27"/>
  <c r="H22" i="27"/>
  <c r="AD22" i="27" s="1"/>
  <c r="F22" i="27"/>
  <c r="AT21" i="27"/>
  <c r="AM21" i="27"/>
  <c r="AD21" i="27"/>
  <c r="R21" i="27"/>
  <c r="O21" i="27"/>
  <c r="P21" i="27" s="1"/>
  <c r="H21" i="27"/>
  <c r="AP21" i="27" s="1"/>
  <c r="AQ21" i="27" s="1"/>
  <c r="F21" i="27"/>
  <c r="AS20" i="27"/>
  <c r="H20" i="27"/>
  <c r="AV20" i="27" s="1"/>
  <c r="F20" i="27"/>
  <c r="AW19" i="27"/>
  <c r="AV19" i="27"/>
  <c r="AT19" i="27"/>
  <c r="AP19" i="27"/>
  <c r="AN19" i="27"/>
  <c r="AH19" i="27"/>
  <c r="AG19" i="27"/>
  <c r="AD19" i="27"/>
  <c r="AB19" i="27"/>
  <c r="Y19" i="27"/>
  <c r="U19" i="27"/>
  <c r="R19" i="27"/>
  <c r="N19" i="27"/>
  <c r="AO19" i="27" s="1"/>
  <c r="H19" i="27"/>
  <c r="F19" i="27"/>
  <c r="AS18" i="27"/>
  <c r="O18" i="27"/>
  <c r="P18" i="27" s="1"/>
  <c r="H18" i="27"/>
  <c r="F18" i="27"/>
  <c r="AV17" i="27"/>
  <c r="AT17" i="27"/>
  <c r="AE17" i="27"/>
  <c r="AD17" i="27"/>
  <c r="O17" i="27"/>
  <c r="P17" i="27" s="1"/>
  <c r="H17" i="27"/>
  <c r="AJ17" i="27" s="1"/>
  <c r="F17" i="27"/>
  <c r="H16" i="27"/>
  <c r="AN16" i="27" s="1"/>
  <c r="F16" i="27"/>
  <c r="AT15" i="27"/>
  <c r="AN15" i="27"/>
  <c r="AH15" i="27"/>
  <c r="AB15" i="27"/>
  <c r="U15" i="27"/>
  <c r="H15" i="27"/>
  <c r="AW15" i="27" s="1"/>
  <c r="F15" i="27"/>
  <c r="H14" i="27"/>
  <c r="N14" i="27" s="1"/>
  <c r="F14" i="27"/>
  <c r="H13" i="27"/>
  <c r="AH13" i="27" s="1"/>
  <c r="F13" i="27"/>
  <c r="H12" i="27"/>
  <c r="F12" i="27"/>
  <c r="AV11" i="27"/>
  <c r="AJ11" i="27"/>
  <c r="AH11" i="27"/>
  <c r="X11" i="27"/>
  <c r="R11" i="27"/>
  <c r="H11" i="27"/>
  <c r="AP11" i="27" s="1"/>
  <c r="F11" i="27"/>
  <c r="AW10" i="27"/>
  <c r="AE10" i="27"/>
  <c r="Y10" i="27"/>
  <c r="H10" i="27"/>
  <c r="AG10" i="27" s="1"/>
  <c r="F10" i="27"/>
  <c r="AW9" i="27"/>
  <c r="AT9" i="27"/>
  <c r="AS9" i="27"/>
  <c r="AP9" i="27"/>
  <c r="AK9" i="27"/>
  <c r="AJ9" i="27"/>
  <c r="AD9" i="27"/>
  <c r="AB9" i="27"/>
  <c r="Y9" i="27"/>
  <c r="U9" i="27"/>
  <c r="R9" i="27"/>
  <c r="N9" i="27"/>
  <c r="H9" i="27"/>
  <c r="AV9" i="27" s="1"/>
  <c r="F9" i="27"/>
  <c r="H8" i="27"/>
  <c r="F8" i="27"/>
  <c r="H7" i="27"/>
  <c r="AT7" i="27" s="1"/>
  <c r="AW7" i="27" s="1"/>
  <c r="F7" i="27"/>
  <c r="H6" i="27"/>
  <c r="AW6" i="27" s="1"/>
  <c r="F6" i="27"/>
  <c r="AW51" i="26"/>
  <c r="AT48" i="26"/>
  <c r="AQ48" i="26"/>
  <c r="AQ33" i="26"/>
  <c r="AQ37" i="26"/>
  <c r="AN43" i="26"/>
  <c r="AN34" i="26"/>
  <c r="AH40" i="26"/>
  <c r="Y36" i="26"/>
  <c r="Y40" i="26"/>
  <c r="Y44" i="26"/>
  <c r="Y48" i="26"/>
  <c r="H54" i="26"/>
  <c r="AM54" i="26" s="1"/>
  <c r="F54" i="26"/>
  <c r="H53" i="26"/>
  <c r="AV53" i="26" s="1"/>
  <c r="F53" i="26"/>
  <c r="H52" i="26"/>
  <c r="AV52" i="26" s="1"/>
  <c r="F52" i="26"/>
  <c r="H51" i="26"/>
  <c r="AV51" i="26" s="1"/>
  <c r="F51" i="26"/>
  <c r="AE50" i="26"/>
  <c r="H50" i="26"/>
  <c r="AM50" i="26" s="1"/>
  <c r="F50" i="26"/>
  <c r="H49" i="26"/>
  <c r="AV49" i="26" s="1"/>
  <c r="F49" i="26"/>
  <c r="X48" i="26"/>
  <c r="H48" i="26"/>
  <c r="AK48" i="26" s="1"/>
  <c r="F48" i="26"/>
  <c r="AP47" i="26"/>
  <c r="U47" i="26"/>
  <c r="H47" i="26"/>
  <c r="AG47" i="26" s="1"/>
  <c r="F47" i="26"/>
  <c r="H46" i="26"/>
  <c r="AW46" i="26" s="1"/>
  <c r="F46" i="26"/>
  <c r="H45" i="26"/>
  <c r="AV45" i="26" s="1"/>
  <c r="F45" i="26"/>
  <c r="H44" i="26"/>
  <c r="AV44" i="26" s="1"/>
  <c r="F44" i="26"/>
  <c r="H43" i="26"/>
  <c r="AW43" i="26" s="1"/>
  <c r="F43" i="26"/>
  <c r="H42" i="26"/>
  <c r="Y42" i="26" s="1"/>
  <c r="F42" i="26"/>
  <c r="H41" i="26"/>
  <c r="AN41" i="26" s="1"/>
  <c r="F41" i="26"/>
  <c r="H40" i="26"/>
  <c r="AV40" i="26" s="1"/>
  <c r="F40" i="26"/>
  <c r="H39" i="26"/>
  <c r="AQ39" i="26" s="1"/>
  <c r="F39" i="26"/>
  <c r="AJ38" i="26"/>
  <c r="U38" i="26"/>
  <c r="H38" i="26"/>
  <c r="Y38" i="26" s="1"/>
  <c r="F38" i="26"/>
  <c r="AG37" i="26"/>
  <c r="H37" i="26"/>
  <c r="AV37" i="26" s="1"/>
  <c r="F37" i="26"/>
  <c r="AP36" i="26"/>
  <c r="R36" i="26"/>
  <c r="N36" i="26"/>
  <c r="H36" i="26"/>
  <c r="AW36" i="26" s="1"/>
  <c r="F36" i="26"/>
  <c r="H35" i="26"/>
  <c r="AM35" i="26" s="1"/>
  <c r="F35" i="26"/>
  <c r="H34" i="26"/>
  <c r="AV34" i="26" s="1"/>
  <c r="F34" i="26"/>
  <c r="H33" i="26"/>
  <c r="AV33" i="26" s="1"/>
  <c r="F33" i="26"/>
  <c r="H32" i="26"/>
  <c r="AW32" i="26" s="1"/>
  <c r="H31" i="26"/>
  <c r="AQ31" i="26" s="1"/>
  <c r="F31" i="26"/>
  <c r="H30" i="26"/>
  <c r="AN30" i="26" s="1"/>
  <c r="F30" i="26"/>
  <c r="Y28" i="26"/>
  <c r="U28" i="26"/>
  <c r="H28" i="26"/>
  <c r="AV28" i="26" s="1"/>
  <c r="F28" i="26"/>
  <c r="H27" i="26"/>
  <c r="AW27" i="26" s="1"/>
  <c r="F27" i="26"/>
  <c r="AM26" i="26"/>
  <c r="H26" i="26"/>
  <c r="F26" i="26"/>
  <c r="AN25" i="26"/>
  <c r="H25" i="26"/>
  <c r="AV25" i="26" s="1"/>
  <c r="F25" i="26"/>
  <c r="H24" i="26"/>
  <c r="AV24" i="26" s="1"/>
  <c r="F24" i="26"/>
  <c r="AP23" i="26"/>
  <c r="R23" i="26"/>
  <c r="H23" i="26"/>
  <c r="AW23" i="26" s="1"/>
  <c r="F23" i="26"/>
  <c r="H22" i="26"/>
  <c r="AM22" i="26" s="1"/>
  <c r="F22" i="26"/>
  <c r="AJ21" i="26"/>
  <c r="AB21" i="26"/>
  <c r="X21" i="26"/>
  <c r="H21" i="26"/>
  <c r="AN21" i="26" s="1"/>
  <c r="F21" i="26"/>
  <c r="AW20" i="26"/>
  <c r="Y20" i="26"/>
  <c r="U20" i="26"/>
  <c r="H20" i="26"/>
  <c r="AV20" i="26" s="1"/>
  <c r="F20" i="26"/>
  <c r="H19" i="26"/>
  <c r="AW19" i="26" s="1"/>
  <c r="F19" i="26"/>
  <c r="H18" i="26"/>
  <c r="F18" i="26"/>
  <c r="AB17" i="26"/>
  <c r="H17" i="26"/>
  <c r="AN17" i="26" s="1"/>
  <c r="F17" i="26"/>
  <c r="AG16" i="26"/>
  <c r="H16" i="26"/>
  <c r="AV16" i="26" s="1"/>
  <c r="F16" i="26"/>
  <c r="H15" i="26"/>
  <c r="AP15" i="26" s="1"/>
  <c r="F15" i="26"/>
  <c r="H14" i="26"/>
  <c r="F14" i="26"/>
  <c r="U13" i="26"/>
  <c r="H13" i="26"/>
  <c r="AW13" i="26" s="1"/>
  <c r="F13" i="26"/>
  <c r="H12" i="26"/>
  <c r="AV12" i="26" s="1"/>
  <c r="F12" i="26"/>
  <c r="H11" i="26"/>
  <c r="AW11" i="26" s="1"/>
  <c r="F11" i="26"/>
  <c r="H10" i="26"/>
  <c r="F10" i="26"/>
  <c r="R9" i="26"/>
  <c r="H9" i="26"/>
  <c r="AS9" i="26" s="1"/>
  <c r="F9" i="26"/>
  <c r="H8" i="26"/>
  <c r="AV8" i="26" s="1"/>
  <c r="F8" i="26"/>
  <c r="H7" i="26"/>
  <c r="AS7" i="26" s="1"/>
  <c r="F7" i="26"/>
  <c r="H6" i="26"/>
  <c r="F6" i="26"/>
  <c r="AP19" i="26" l="1"/>
  <c r="AW9" i="26"/>
  <c r="AB15" i="26"/>
  <c r="Y16" i="26"/>
  <c r="AD19" i="26"/>
  <c r="AS20" i="26"/>
  <c r="AJ25" i="26"/>
  <c r="AS28" i="26"/>
  <c r="AG33" i="26"/>
  <c r="AD34" i="26"/>
  <c r="AT36" i="26"/>
  <c r="R37" i="26"/>
  <c r="U48" i="26"/>
  <c r="O50" i="26"/>
  <c r="P50" i="26" s="1"/>
  <c r="AG52" i="26"/>
  <c r="V52" i="26"/>
  <c r="Y45" i="26"/>
  <c r="Y41" i="26"/>
  <c r="Y37" i="26"/>
  <c r="Y33" i="26"/>
  <c r="AK40" i="26"/>
  <c r="AK42" i="26"/>
  <c r="AN31" i="26"/>
  <c r="AN44" i="26"/>
  <c r="AN40" i="26"/>
  <c r="AQ42" i="26"/>
  <c r="AQ38" i="26"/>
  <c r="AQ34" i="26"/>
  <c r="AQ45" i="26"/>
  <c r="AW38" i="26"/>
  <c r="AE6" i="27"/>
  <c r="X7" i="27"/>
  <c r="AJ7" i="27"/>
  <c r="AV7" i="27"/>
  <c r="X9" i="27"/>
  <c r="AG9" i="27"/>
  <c r="AH9" i="27" s="1"/>
  <c r="AN9" i="27"/>
  <c r="O10" i="27"/>
  <c r="AM10" i="27"/>
  <c r="N11" i="27"/>
  <c r="AD11" i="27"/>
  <c r="AT11" i="27"/>
  <c r="U13" i="27"/>
  <c r="AB13" i="27"/>
  <c r="AJ13" i="27"/>
  <c r="AV13" i="27"/>
  <c r="AQ14" i="27"/>
  <c r="R15" i="27"/>
  <c r="Y15" i="27"/>
  <c r="AG15" i="27"/>
  <c r="AS15" i="27"/>
  <c r="X16" i="27"/>
  <c r="AG16" i="27"/>
  <c r="AS16" i="27"/>
  <c r="N17" i="27"/>
  <c r="AA17" i="27"/>
  <c r="AP17" i="27"/>
  <c r="AU19" i="27"/>
  <c r="X19" i="27"/>
  <c r="AC19" i="27"/>
  <c r="AJ19" i="27"/>
  <c r="AK19" i="27" s="1"/>
  <c r="AL19" i="27" s="1"/>
  <c r="AS19" i="27"/>
  <c r="AX19" i="27"/>
  <c r="X20" i="27"/>
  <c r="N21" i="27"/>
  <c r="AB21" i="27"/>
  <c r="AJ21" i="27"/>
  <c r="AR21" i="27"/>
  <c r="V23" i="27"/>
  <c r="AD23" i="27"/>
  <c r="AK23" i="27"/>
  <c r="AG24" i="27"/>
  <c r="AK34" i="26"/>
  <c r="AH10" i="28"/>
  <c r="R10" i="28"/>
  <c r="AM10" i="28"/>
  <c r="Y32" i="26"/>
  <c r="Y52" i="26"/>
  <c r="AK41" i="26"/>
  <c r="AQ41" i="26"/>
  <c r="AG6" i="27"/>
  <c r="AB7" i="27"/>
  <c r="AN7" i="27"/>
  <c r="AD13" i="27"/>
  <c r="AM13" i="27"/>
  <c r="Y16" i="27"/>
  <c r="AJ16" i="27"/>
  <c r="AW16" i="27"/>
  <c r="AS43" i="27"/>
  <c r="AM43" i="27"/>
  <c r="O43" i="27"/>
  <c r="AK43" i="27"/>
  <c r="N43" i="27"/>
  <c r="Z43" i="27" s="1"/>
  <c r="AT43" i="27"/>
  <c r="Y43" i="27"/>
  <c r="AK52" i="26"/>
  <c r="AG13" i="26"/>
  <c r="AW16" i="26"/>
  <c r="N19" i="26"/>
  <c r="AT19" i="26"/>
  <c r="AE22" i="26"/>
  <c r="AK37" i="26"/>
  <c r="AJ41" i="26"/>
  <c r="AW47" i="26"/>
  <c r="S47" i="26"/>
  <c r="U52" i="26"/>
  <c r="Y47" i="26"/>
  <c r="Y43" i="26"/>
  <c r="Y39" i="26"/>
  <c r="Y35" i="26"/>
  <c r="Y31" i="26"/>
  <c r="AH32" i="26"/>
  <c r="AK32" i="26"/>
  <c r="AK44" i="26"/>
  <c r="AN33" i="26"/>
  <c r="AN42" i="26"/>
  <c r="AQ44" i="26"/>
  <c r="AQ40" i="26"/>
  <c r="AQ36" i="26"/>
  <c r="AQ32" i="26"/>
  <c r="AT38" i="26"/>
  <c r="AW50" i="26"/>
  <c r="O6" i="27"/>
  <c r="AM6" i="27"/>
  <c r="N7" i="27"/>
  <c r="AD7" i="27"/>
  <c r="AP7" i="27"/>
  <c r="N13" i="27"/>
  <c r="X13" i="27"/>
  <c r="AG13" i="27"/>
  <c r="AP13" i="27"/>
  <c r="V15" i="27"/>
  <c r="AJ15" i="27"/>
  <c r="AV15" i="27"/>
  <c r="O16" i="27"/>
  <c r="P16" i="27" s="1"/>
  <c r="AB16" i="27"/>
  <c r="AM16" i="27"/>
  <c r="Z19" i="27"/>
  <c r="AE21" i="27"/>
  <c r="AN21" i="27"/>
  <c r="AU21" i="27"/>
  <c r="AA25" i="27"/>
  <c r="AS35" i="27"/>
  <c r="S35" i="27"/>
  <c r="AN35" i="27"/>
  <c r="R35" i="27"/>
  <c r="AJ13" i="28"/>
  <c r="O13" i="28"/>
  <c r="P13" i="28" s="1"/>
  <c r="AT13" i="28"/>
  <c r="AE13" i="28"/>
  <c r="N13" i="28"/>
  <c r="AU13" i="28" s="1"/>
  <c r="AN13" i="28"/>
  <c r="X13" i="28"/>
  <c r="AP19" i="28"/>
  <c r="AB19" i="28"/>
  <c r="R19" i="28"/>
  <c r="AW19" i="28"/>
  <c r="AN19" i="28"/>
  <c r="X19" i="28"/>
  <c r="N19" i="28"/>
  <c r="AS19" i="28"/>
  <c r="AG19" i="28"/>
  <c r="U19" i="28"/>
  <c r="V19" i="28" s="1"/>
  <c r="AH25" i="28"/>
  <c r="R25" i="28"/>
  <c r="AM25" i="28"/>
  <c r="AB9" i="26"/>
  <c r="AK9" i="26"/>
  <c r="AS13" i="26"/>
  <c r="U16" i="26"/>
  <c r="R19" i="26"/>
  <c r="AG20" i="26"/>
  <c r="AV21" i="26"/>
  <c r="X25" i="26"/>
  <c r="AG28" i="26"/>
  <c r="U34" i="26"/>
  <c r="N37" i="26"/>
  <c r="AG40" i="26"/>
  <c r="AV48" i="26"/>
  <c r="S48" i="26"/>
  <c r="AS48" i="26"/>
  <c r="X52" i="26"/>
  <c r="Y46" i="26"/>
  <c r="Y34" i="26"/>
  <c r="AH31" i="26"/>
  <c r="AK31" i="26"/>
  <c r="AK43" i="26"/>
  <c r="AN32" i="26"/>
  <c r="AQ43" i="26"/>
  <c r="AQ35" i="26"/>
  <c r="Y6" i="27"/>
  <c r="R7" i="27"/>
  <c r="AH7" i="27"/>
  <c r="AB11" i="27"/>
  <c r="R13" i="27"/>
  <c r="Y13" i="27"/>
  <c r="N15" i="27"/>
  <c r="AL15" i="27" s="1"/>
  <c r="X15" i="27"/>
  <c r="AD15" i="27"/>
  <c r="AK15" i="27"/>
  <c r="AP15" i="27"/>
  <c r="S16" i="27"/>
  <c r="AE16" i="27"/>
  <c r="X17" i="27"/>
  <c r="S20" i="27"/>
  <c r="X21" i="27"/>
  <c r="AH21" i="27"/>
  <c r="AD42" i="27"/>
  <c r="AT42" i="27"/>
  <c r="N42" i="27"/>
  <c r="AW51" i="27"/>
  <c r="Y51" i="27"/>
  <c r="AB51" i="27"/>
  <c r="AB51" i="26"/>
  <c r="AD13" i="28"/>
  <c r="S21" i="28"/>
  <c r="AH26" i="27"/>
  <c r="AS26" i="27"/>
  <c r="AU27" i="27"/>
  <c r="X27" i="27"/>
  <c r="AJ27" i="27"/>
  <c r="AS27" i="27"/>
  <c r="AM30" i="27"/>
  <c r="N31" i="27"/>
  <c r="N32" i="27"/>
  <c r="AD32" i="27"/>
  <c r="AP32" i="27"/>
  <c r="Y36" i="27"/>
  <c r="Z36" i="27" s="1"/>
  <c r="AG36" i="27"/>
  <c r="AT36" i="27"/>
  <c r="N44" i="27"/>
  <c r="AO44" i="27" s="1"/>
  <c r="AG44" i="27"/>
  <c r="AW44" i="27"/>
  <c r="X47" i="27"/>
  <c r="AJ47" i="27"/>
  <c r="N54" i="27"/>
  <c r="Y54" i="27"/>
  <c r="AJ54" i="27"/>
  <c r="AS54" i="27"/>
  <c r="Y49" i="27"/>
  <c r="AE31" i="27"/>
  <c r="AK34" i="27"/>
  <c r="AN37" i="27"/>
  <c r="AW46" i="27"/>
  <c r="R7" i="28"/>
  <c r="V7" i="28" s="1"/>
  <c r="AB7" i="28"/>
  <c r="AJ7" i="28"/>
  <c r="AT7" i="28"/>
  <c r="AW7" i="28" s="1"/>
  <c r="O8" i="28"/>
  <c r="AJ8" i="28"/>
  <c r="N11" i="28"/>
  <c r="Y11" i="28"/>
  <c r="AG11" i="28"/>
  <c r="AV11" i="28"/>
  <c r="AB12" i="28"/>
  <c r="AM12" i="28"/>
  <c r="AN12" i="28" s="1"/>
  <c r="N15" i="28"/>
  <c r="X15" i="28"/>
  <c r="AD15" i="28"/>
  <c r="AK15" i="28"/>
  <c r="AS15" i="28"/>
  <c r="O17" i="28"/>
  <c r="P17" i="28" s="1"/>
  <c r="AM17" i="28"/>
  <c r="AQ17" i="28" s="1"/>
  <c r="AR17" i="28" s="1"/>
  <c r="N18" i="28"/>
  <c r="Y18" i="28"/>
  <c r="AP18" i="28"/>
  <c r="O21" i="28"/>
  <c r="P21" i="28" s="1"/>
  <c r="AB21" i="28"/>
  <c r="AJ21" i="28"/>
  <c r="AT21" i="28"/>
  <c r="O22" i="28"/>
  <c r="P22" i="28" s="1"/>
  <c r="AD22" i="28"/>
  <c r="AT22" i="28"/>
  <c r="AU22" i="28" s="1"/>
  <c r="N23" i="28"/>
  <c r="X23" i="28"/>
  <c r="AG23" i="28"/>
  <c r="AN23" i="28"/>
  <c r="AV23" i="28"/>
  <c r="AT26" i="28"/>
  <c r="Y28" i="28"/>
  <c r="AS28" i="28"/>
  <c r="U32" i="28"/>
  <c r="U33" i="28"/>
  <c r="AJ33" i="28"/>
  <c r="AT33" i="28"/>
  <c r="R36" i="28"/>
  <c r="AD38" i="28"/>
  <c r="R40" i="28"/>
  <c r="AE43" i="28"/>
  <c r="Y44" i="28"/>
  <c r="AK44" i="28"/>
  <c r="AV44" i="28"/>
  <c r="AJ48" i="28"/>
  <c r="R50" i="28"/>
  <c r="AJ52" i="28"/>
  <c r="AE39" i="28"/>
  <c r="AH31" i="28"/>
  <c r="AN38" i="28"/>
  <c r="U6" i="29"/>
  <c r="AD6" i="29"/>
  <c r="AK6" i="29"/>
  <c r="AW6" i="29"/>
  <c r="N9" i="29"/>
  <c r="Y9" i="29"/>
  <c r="AG9" i="29"/>
  <c r="AN9" i="29"/>
  <c r="AV9" i="29"/>
  <c r="R11" i="29"/>
  <c r="AD11" i="29"/>
  <c r="AM11" i="29"/>
  <c r="U12" i="29"/>
  <c r="AK12" i="29"/>
  <c r="AU13" i="29"/>
  <c r="AV13" i="29"/>
  <c r="X13" i="29"/>
  <c r="AG13" i="29"/>
  <c r="AN13" i="29"/>
  <c r="AW13" i="29"/>
  <c r="X17" i="29"/>
  <c r="AH17" i="29"/>
  <c r="AW18" i="29"/>
  <c r="AS18" i="29"/>
  <c r="Y18" i="29"/>
  <c r="AJ18" i="29"/>
  <c r="AT21" i="29"/>
  <c r="AL21" i="29"/>
  <c r="AG21" i="29"/>
  <c r="X21" i="29"/>
  <c r="N21" i="29"/>
  <c r="Y21" i="29"/>
  <c r="AJ21" i="29"/>
  <c r="AS21" i="29"/>
  <c r="N23" i="29"/>
  <c r="AT23" i="29"/>
  <c r="X25" i="29"/>
  <c r="AO44" i="29"/>
  <c r="S37" i="27"/>
  <c r="AT54" i="30"/>
  <c r="P54" i="30"/>
  <c r="Z54" i="30"/>
  <c r="AY54" i="30"/>
  <c r="AB54" i="30"/>
  <c r="AX54" i="30"/>
  <c r="O54" i="30"/>
  <c r="Y54" i="30"/>
  <c r="AC54" i="30"/>
  <c r="AD54" i="30" s="1"/>
  <c r="AD32" i="28"/>
  <c r="Y33" i="28"/>
  <c r="AK33" i="28"/>
  <c r="AW33" i="28"/>
  <c r="Y51" i="28"/>
  <c r="X6" i="29"/>
  <c r="AG6" i="29"/>
  <c r="AS6" i="29"/>
  <c r="S11" i="29"/>
  <c r="AE11" i="29"/>
  <c r="Y12" i="29"/>
  <c r="AP12" i="29"/>
  <c r="AS17" i="29"/>
  <c r="AJ17" i="29"/>
  <c r="AB17" i="29"/>
  <c r="R17" i="29"/>
  <c r="Y17" i="29"/>
  <c r="AK17" i="29"/>
  <c r="AV17" i="29"/>
  <c r="AC21" i="29"/>
  <c r="AU25" i="29"/>
  <c r="AW25" i="29"/>
  <c r="AP25" i="29"/>
  <c r="AH25" i="29"/>
  <c r="Y25" i="29"/>
  <c r="R25" i="29"/>
  <c r="AS25" i="29"/>
  <c r="AJ25" i="29"/>
  <c r="Z25" i="29"/>
  <c r="U25" i="29"/>
  <c r="AD25" i="29"/>
  <c r="AT25" i="29"/>
  <c r="AT30" i="29"/>
  <c r="U30" i="29"/>
  <c r="O30" i="29"/>
  <c r="AP30" i="29"/>
  <c r="AT20" i="30"/>
  <c r="AQ20" i="30"/>
  <c r="AN20" i="30"/>
  <c r="AK20" i="30"/>
  <c r="AH20" i="30"/>
  <c r="AE20" i="30"/>
  <c r="AB20" i="30"/>
  <c r="Y20" i="30"/>
  <c r="V20" i="30"/>
  <c r="S20" i="30"/>
  <c r="AW20" i="30"/>
  <c r="P20" i="30"/>
  <c r="AT22" i="30"/>
  <c r="AQ22" i="30"/>
  <c r="AN22" i="30"/>
  <c r="AK22" i="30"/>
  <c r="AH22" i="30"/>
  <c r="AE22" i="30"/>
  <c r="AB22" i="30"/>
  <c r="Y22" i="30"/>
  <c r="V22" i="30"/>
  <c r="P22" i="30"/>
  <c r="Z22" i="30"/>
  <c r="AW22" i="30"/>
  <c r="AN43" i="30"/>
  <c r="AN47" i="30"/>
  <c r="R26" i="27"/>
  <c r="S26" i="27" s="1"/>
  <c r="AD26" i="27"/>
  <c r="AM26" i="27"/>
  <c r="AU26" i="27"/>
  <c r="R27" i="27"/>
  <c r="Z27" i="27"/>
  <c r="AG27" i="27"/>
  <c r="AH27" i="27" s="1"/>
  <c r="AN27" i="27"/>
  <c r="AV27" i="27"/>
  <c r="R30" i="27"/>
  <c r="U32" i="27"/>
  <c r="AJ32" i="27"/>
  <c r="AT32" i="27"/>
  <c r="AB36" i="27"/>
  <c r="AW36" i="27"/>
  <c r="Y44" i="27"/>
  <c r="Z44" i="27" s="1"/>
  <c r="AP44" i="27"/>
  <c r="AE47" i="27"/>
  <c r="U54" i="27"/>
  <c r="V54" i="27" s="1"/>
  <c r="AD54" i="27"/>
  <c r="AH54" i="27" s="1"/>
  <c r="AN54" i="27"/>
  <c r="AE30" i="27"/>
  <c r="AE40" i="27"/>
  <c r="X7" i="28"/>
  <c r="AG7" i="28"/>
  <c r="Y8" i="28"/>
  <c r="U11" i="28"/>
  <c r="V11" i="28" s="1"/>
  <c r="W11" i="28" s="1"/>
  <c r="AC11" i="28"/>
  <c r="AJ11" i="28"/>
  <c r="AS11" i="28"/>
  <c r="AX11" i="28"/>
  <c r="X12" i="28"/>
  <c r="AG12" i="28"/>
  <c r="U15" i="28"/>
  <c r="AB15" i="28"/>
  <c r="AH15" i="28"/>
  <c r="AO15" i="28"/>
  <c r="AE17" i="28"/>
  <c r="U18" i="28"/>
  <c r="AG18" i="28"/>
  <c r="AH18" i="28" s="1"/>
  <c r="AT18" i="28"/>
  <c r="AE21" i="28"/>
  <c r="AN21" i="28"/>
  <c r="Y22" i="28"/>
  <c r="Z22" i="28" s="1"/>
  <c r="AK22" i="28"/>
  <c r="U23" i="28"/>
  <c r="Y23" i="28" s="1"/>
  <c r="AB23" i="28"/>
  <c r="AJ23" i="28"/>
  <c r="AE26" i="28"/>
  <c r="AP26" i="28"/>
  <c r="X27" i="28"/>
  <c r="AG27" i="28"/>
  <c r="AH27" i="28" s="1"/>
  <c r="AI27" i="28" s="1"/>
  <c r="AP27" i="28"/>
  <c r="S28" i="28"/>
  <c r="AJ28" i="28"/>
  <c r="N32" i="28"/>
  <c r="AU32" i="28" s="1"/>
  <c r="AK32" i="28"/>
  <c r="N33" i="28"/>
  <c r="Z33" i="28" s="1"/>
  <c r="AB33" i="28"/>
  <c r="AP33" i="28"/>
  <c r="AS36" i="28"/>
  <c r="AV37" i="28"/>
  <c r="R38" i="28"/>
  <c r="AM38" i="28"/>
  <c r="AS40" i="28"/>
  <c r="R43" i="28"/>
  <c r="AS43" i="28"/>
  <c r="R44" i="28"/>
  <c r="AD44" i="28"/>
  <c r="AS44" i="28"/>
  <c r="AS45" i="28"/>
  <c r="X48" i="28"/>
  <c r="AV48" i="28"/>
  <c r="AJ50" i="28"/>
  <c r="AB51" i="28"/>
  <c r="R52" i="28"/>
  <c r="AT52" i="28"/>
  <c r="AK53" i="28"/>
  <c r="S48" i="28"/>
  <c r="Y50" i="28"/>
  <c r="AE32" i="28"/>
  <c r="AE52" i="28"/>
  <c r="AN36" i="28"/>
  <c r="AT46" i="28"/>
  <c r="N6" i="29"/>
  <c r="Y6" i="29"/>
  <c r="AH6" i="29"/>
  <c r="AN6" i="29"/>
  <c r="AT6" i="29"/>
  <c r="U9" i="29"/>
  <c r="AB9" i="29"/>
  <c r="AK9" i="29"/>
  <c r="N11" i="29"/>
  <c r="X11" i="29"/>
  <c r="AH11" i="29"/>
  <c r="AP11" i="29"/>
  <c r="N12" i="29"/>
  <c r="AD12" i="29"/>
  <c r="AT12" i="29"/>
  <c r="R13" i="29"/>
  <c r="V13" i="29" s="1"/>
  <c r="W13" i="29" s="1"/>
  <c r="AB13" i="29"/>
  <c r="AJ13" i="29"/>
  <c r="AS13" i="29"/>
  <c r="AT16" i="29"/>
  <c r="AH16" i="29"/>
  <c r="U16" i="29"/>
  <c r="V16" i="29" s="1"/>
  <c r="N16" i="29"/>
  <c r="Y16" i="29"/>
  <c r="AP16" i="29"/>
  <c r="N17" i="29"/>
  <c r="AD17" i="29"/>
  <c r="AN17" i="29"/>
  <c r="AW17" i="29"/>
  <c r="X18" i="29"/>
  <c r="U21" i="29"/>
  <c r="V21" i="29" s="1"/>
  <c r="AD21" i="29"/>
  <c r="AN21" i="29"/>
  <c r="AW21" i="29"/>
  <c r="N25" i="29"/>
  <c r="AO25" i="29" s="1"/>
  <c r="AG25" i="29"/>
  <c r="AV25" i="29"/>
  <c r="AS49" i="29"/>
  <c r="Y49" i="29"/>
  <c r="N49" i="29"/>
  <c r="AL49" i="29" s="1"/>
  <c r="AK49" i="29"/>
  <c r="P6" i="30"/>
  <c r="S6" i="30"/>
  <c r="S49" i="30"/>
  <c r="U26" i="27"/>
  <c r="AE26" i="27"/>
  <c r="U27" i="27"/>
  <c r="V27" i="27" s="1"/>
  <c r="AB27" i="27"/>
  <c r="AC27" i="27" s="1"/>
  <c r="AP27" i="27"/>
  <c r="AW27" i="27"/>
  <c r="AX27" i="27" s="1"/>
  <c r="Y32" i="27"/>
  <c r="AK32" i="27"/>
  <c r="AW32" i="27"/>
  <c r="U36" i="27"/>
  <c r="AD36" i="27"/>
  <c r="AP36" i="27"/>
  <c r="AT38" i="27"/>
  <c r="S38" i="27"/>
  <c r="AV44" i="27"/>
  <c r="O47" i="27"/>
  <c r="P47" i="27" s="1"/>
  <c r="AG47" i="27"/>
  <c r="AU54" i="27"/>
  <c r="X54" i="27"/>
  <c r="AG54" i="27"/>
  <c r="AP54" i="27"/>
  <c r="AW54" i="27"/>
  <c r="AE32" i="27"/>
  <c r="AN38" i="27"/>
  <c r="AW47" i="27"/>
  <c r="AE8" i="28"/>
  <c r="X11" i="28"/>
  <c r="AD11" i="28"/>
  <c r="AK11" i="28"/>
  <c r="AL11" i="28" s="1"/>
  <c r="AU15" i="28"/>
  <c r="V15" i="28"/>
  <c r="AC15" i="28"/>
  <c r="AJ15" i="28"/>
  <c r="AP15" i="28"/>
  <c r="AW15" i="28"/>
  <c r="AH17" i="28"/>
  <c r="V18" i="28"/>
  <c r="AK18" i="28"/>
  <c r="AI21" i="28"/>
  <c r="X21" i="28"/>
  <c r="AH21" i="28"/>
  <c r="V23" i="28"/>
  <c r="AD23" i="28"/>
  <c r="AK23" i="28"/>
  <c r="AT23" i="28"/>
  <c r="AU23" i="28" s="1"/>
  <c r="AU26" i="28"/>
  <c r="X28" i="28"/>
  <c r="O32" i="28"/>
  <c r="P32" i="28" s="1"/>
  <c r="AT32" i="28"/>
  <c r="R33" i="28"/>
  <c r="AG33" i="28"/>
  <c r="AP50" i="28"/>
  <c r="Y49" i="28"/>
  <c r="AE31" i="28"/>
  <c r="AH32" i="28"/>
  <c r="AN35" i="28"/>
  <c r="AT45" i="28"/>
  <c r="R6" i="29"/>
  <c r="Z6" i="29"/>
  <c r="AJ6" i="29"/>
  <c r="AP6" i="29"/>
  <c r="AV6" i="29"/>
  <c r="X9" i="29"/>
  <c r="AD9" i="29"/>
  <c r="AL9" i="29"/>
  <c r="AT9" i="29"/>
  <c r="AU9" i="29" s="1"/>
  <c r="O11" i="29"/>
  <c r="P11" i="29" s="1"/>
  <c r="AB11" i="29"/>
  <c r="AJ11" i="29"/>
  <c r="O12" i="29"/>
  <c r="P12" i="29" s="1"/>
  <c r="U17" i="29"/>
  <c r="V17" i="29" s="1"/>
  <c r="AG17" i="29"/>
  <c r="AP17" i="29"/>
  <c r="AU23" i="29"/>
  <c r="X23" i="29"/>
  <c r="AN23" i="29"/>
  <c r="V25" i="29"/>
  <c r="AK25" i="29"/>
  <c r="AL25" i="29" s="1"/>
  <c r="AN46" i="29"/>
  <c r="AV46" i="29"/>
  <c r="O46" i="29"/>
  <c r="P46" i="29" s="1"/>
  <c r="AS46" i="29"/>
  <c r="N46" i="29"/>
  <c r="Y46" i="29"/>
  <c r="AW27" i="30"/>
  <c r="AT27" i="30"/>
  <c r="AQ27" i="30"/>
  <c r="AN27" i="30"/>
  <c r="AK27" i="30"/>
  <c r="AH27" i="30"/>
  <c r="AE27" i="30"/>
  <c r="AB27" i="30"/>
  <c r="Y27" i="30"/>
  <c r="S27" i="30"/>
  <c r="AQ30" i="30"/>
  <c r="Z30" i="30"/>
  <c r="O30" i="30"/>
  <c r="AI30" i="30"/>
  <c r="AN39" i="30"/>
  <c r="V39" i="30"/>
  <c r="S39" i="30"/>
  <c r="Z39" i="30"/>
  <c r="AK39" i="30"/>
  <c r="AU39" i="30"/>
  <c r="O39" i="30"/>
  <c r="AV39" i="30" s="1"/>
  <c r="AC39" i="30"/>
  <c r="AB42" i="30"/>
  <c r="AL42" i="30"/>
  <c r="V42" i="30"/>
  <c r="S42" i="30"/>
  <c r="O42" i="30"/>
  <c r="AE42" i="30"/>
  <c r="AB22" i="29"/>
  <c r="N27" i="29"/>
  <c r="AC27" i="29" s="1"/>
  <c r="X27" i="29"/>
  <c r="AW27" i="29"/>
  <c r="O28" i="29"/>
  <c r="P28" i="29" s="1"/>
  <c r="AD28" i="29"/>
  <c r="AM28" i="29"/>
  <c r="R31" i="29"/>
  <c r="AD31" i="29"/>
  <c r="AP31" i="29"/>
  <c r="AN32" i="29"/>
  <c r="AO32" i="29" s="1"/>
  <c r="AB33" i="29"/>
  <c r="O34" i="29"/>
  <c r="V34" i="29" s="1"/>
  <c r="AD34" i="29"/>
  <c r="AT34" i="29"/>
  <c r="Z36" i="29"/>
  <c r="AP36" i="29"/>
  <c r="U50" i="29"/>
  <c r="AS50" i="29"/>
  <c r="R52" i="29"/>
  <c r="AT52" i="29"/>
  <c r="R53" i="29"/>
  <c r="AS53" i="29"/>
  <c r="S38" i="29"/>
  <c r="AI7" i="30"/>
  <c r="AU9" i="30"/>
  <c r="AW9" i="30"/>
  <c r="AT9" i="30"/>
  <c r="AQ9" i="30"/>
  <c r="AW11" i="30"/>
  <c r="AT11" i="30"/>
  <c r="AQ11" i="30"/>
  <c r="AX13" i="30"/>
  <c r="AW13" i="30"/>
  <c r="AT13" i="30"/>
  <c r="AX15" i="30"/>
  <c r="AW15" i="30"/>
  <c r="AT15" i="30"/>
  <c r="AW17" i="30"/>
  <c r="AT17" i="30"/>
  <c r="AX19" i="30"/>
  <c r="AW19" i="30"/>
  <c r="AT19" i="30"/>
  <c r="AW23" i="30"/>
  <c r="AT23" i="30"/>
  <c r="AC24" i="30"/>
  <c r="AT26" i="30"/>
  <c r="AC31" i="30"/>
  <c r="P40" i="30"/>
  <c r="S38" i="30"/>
  <c r="P28" i="30"/>
  <c r="P24" i="30"/>
  <c r="P16" i="30"/>
  <c r="P12" i="30"/>
  <c r="P8" i="30"/>
  <c r="S23" i="30"/>
  <c r="S19" i="30"/>
  <c r="S15" i="30"/>
  <c r="S11" i="30"/>
  <c r="S7" i="30"/>
  <c r="X26" i="30"/>
  <c r="AP26" i="30"/>
  <c r="AQ23" i="30"/>
  <c r="AQ15" i="30"/>
  <c r="AW24" i="30"/>
  <c r="AW16" i="30"/>
  <c r="S28" i="29"/>
  <c r="AH28" i="29"/>
  <c r="AP28" i="29"/>
  <c r="Y31" i="29"/>
  <c r="AJ31" i="29"/>
  <c r="AT31" i="29"/>
  <c r="X34" i="29"/>
  <c r="AM34" i="29"/>
  <c r="AG50" i="29"/>
  <c r="AH52" i="29"/>
  <c r="AD53" i="29"/>
  <c r="S36" i="29"/>
  <c r="AT8" i="30"/>
  <c r="AQ8" i="30"/>
  <c r="Z10" i="30"/>
  <c r="AT10" i="30"/>
  <c r="AQ10" i="30"/>
  <c r="AT12" i="30"/>
  <c r="AQ12" i="30"/>
  <c r="AT14" i="30"/>
  <c r="AQ14" i="30"/>
  <c r="AR16" i="30"/>
  <c r="AT16" i="30"/>
  <c r="AQ16" i="30"/>
  <c r="AU18" i="30"/>
  <c r="AT18" i="30"/>
  <c r="AQ18" i="30"/>
  <c r="AW25" i="30"/>
  <c r="AT25" i="30"/>
  <c r="P26" i="30"/>
  <c r="P18" i="30"/>
  <c r="P14" i="30"/>
  <c r="P10" i="30"/>
  <c r="S25" i="30"/>
  <c r="S21" i="30"/>
  <c r="S17" i="30"/>
  <c r="S13" i="30"/>
  <c r="S9" i="30"/>
  <c r="AQ19" i="30"/>
  <c r="AW12" i="30"/>
  <c r="S27" i="29"/>
  <c r="N28" i="29"/>
  <c r="X28" i="29"/>
  <c r="AJ28" i="29"/>
  <c r="N31" i="29"/>
  <c r="Z31" i="29" s="1"/>
  <c r="AK31" i="29"/>
  <c r="N34" i="29"/>
  <c r="AU34" i="29" s="1"/>
  <c r="AB34" i="29"/>
  <c r="AN34" i="29"/>
  <c r="AJ50" i="29"/>
  <c r="N52" i="29"/>
  <c r="AP52" i="29"/>
  <c r="AP53" i="29"/>
  <c r="S35" i="29"/>
  <c r="AW7" i="30"/>
  <c r="AT7" i="30"/>
  <c r="AQ7" i="30"/>
  <c r="AW21" i="30"/>
  <c r="AT21" i="30"/>
  <c r="AT24" i="30"/>
  <c r="AQ24" i="30"/>
  <c r="AT28" i="30"/>
  <c r="AY31" i="30"/>
  <c r="P25" i="30"/>
  <c r="P21" i="30"/>
  <c r="P17" i="30"/>
  <c r="P13" i="30"/>
  <c r="P9" i="30"/>
  <c r="S28" i="30"/>
  <c r="S24" i="30"/>
  <c r="S16" i="30"/>
  <c r="S12" i="30"/>
  <c r="S8" i="30"/>
  <c r="V28" i="30"/>
  <c r="V26" i="30"/>
  <c r="V24" i="30"/>
  <c r="V18" i="30"/>
  <c r="V16" i="30"/>
  <c r="V14" i="30"/>
  <c r="V12" i="30"/>
  <c r="V10" i="30"/>
  <c r="V8" i="30"/>
  <c r="Y28" i="30"/>
  <c r="Y26" i="30"/>
  <c r="Y24" i="30"/>
  <c r="Y18" i="30"/>
  <c r="Y16" i="30"/>
  <c r="Y14" i="30"/>
  <c r="Y12" i="30"/>
  <c r="Y10" i="30"/>
  <c r="Y8" i="30"/>
  <c r="AB28" i="30"/>
  <c r="AB26" i="30"/>
  <c r="AB24" i="30"/>
  <c r="AB18" i="30"/>
  <c r="AB16" i="30"/>
  <c r="AB14" i="30"/>
  <c r="AB12" i="30"/>
  <c r="AB10" i="30"/>
  <c r="AB8" i="30"/>
  <c r="AE28" i="30"/>
  <c r="AE26" i="30"/>
  <c r="AE24" i="30"/>
  <c r="AE18" i="30"/>
  <c r="AE16" i="30"/>
  <c r="AE14" i="30"/>
  <c r="AE12" i="30"/>
  <c r="AE10" i="30"/>
  <c r="AE8" i="30"/>
  <c r="AH28" i="30"/>
  <c r="AH26" i="30"/>
  <c r="AH24" i="30"/>
  <c r="AH18" i="30"/>
  <c r="AH16" i="30"/>
  <c r="AH14" i="30"/>
  <c r="AH12" i="30"/>
  <c r="AH10" i="30"/>
  <c r="AH8" i="30"/>
  <c r="AK28" i="30"/>
  <c r="AK26" i="30"/>
  <c r="AK24" i="30"/>
  <c r="AK18" i="30"/>
  <c r="AK16" i="30"/>
  <c r="AK14" i="30"/>
  <c r="AK12" i="30"/>
  <c r="AK10" i="30"/>
  <c r="AK8" i="30"/>
  <c r="AN28" i="30"/>
  <c r="AN26" i="30"/>
  <c r="AN24" i="30"/>
  <c r="AN18" i="30"/>
  <c r="AN16" i="30"/>
  <c r="AN14" i="30"/>
  <c r="AN12" i="30"/>
  <c r="AN10" i="30"/>
  <c r="AN8" i="30"/>
  <c r="AQ28" i="30"/>
  <c r="AQ26" i="30"/>
  <c r="AQ21" i="30"/>
  <c r="AQ13" i="30"/>
  <c r="AW26" i="30"/>
  <c r="AW18" i="30"/>
  <c r="AW10" i="30"/>
  <c r="AZ21" i="31"/>
  <c r="AK21" i="31"/>
  <c r="AB21" i="31"/>
  <c r="AP21" i="31"/>
  <c r="U21" i="31"/>
  <c r="BA21" i="31"/>
  <c r="AJ21" i="31"/>
  <c r="Q21" i="31"/>
  <c r="AV21" i="31"/>
  <c r="AD21" i="31"/>
  <c r="AK49" i="31"/>
  <c r="AD49" i="31"/>
  <c r="AY49" i="31"/>
  <c r="U49" i="31"/>
  <c r="AP49" i="31"/>
  <c r="AZ11" i="31"/>
  <c r="AP11" i="31"/>
  <c r="AD11" i="31"/>
  <c r="Q11" i="31"/>
  <c r="AG11" i="31"/>
  <c r="AV11" i="31"/>
  <c r="AQ12" i="31"/>
  <c r="AV14" i="31"/>
  <c r="AN14" i="31"/>
  <c r="AE14" i="31"/>
  <c r="X14" i="31"/>
  <c r="AB14" i="31"/>
  <c r="AM14" i="31"/>
  <c r="AY14" i="31"/>
  <c r="AQ20" i="31"/>
  <c r="AQ22" i="31"/>
  <c r="AJ22" i="31"/>
  <c r="AB22" i="31"/>
  <c r="R22" i="31"/>
  <c r="S22" i="31" s="1"/>
  <c r="AD22" i="31"/>
  <c r="AN22" i="31"/>
  <c r="AZ22" i="31"/>
  <c r="AV32" i="31"/>
  <c r="AM32" i="31"/>
  <c r="AD32" i="31"/>
  <c r="R32" i="31"/>
  <c r="S32" i="31" s="1"/>
  <c r="AE32" i="31"/>
  <c r="AP32" i="31"/>
  <c r="AP53" i="32"/>
  <c r="AD41" i="32"/>
  <c r="AY8" i="31"/>
  <c r="AN8" i="31"/>
  <c r="AE8" i="31"/>
  <c r="X8" i="31"/>
  <c r="AB8" i="31"/>
  <c r="AM8" i="31"/>
  <c r="AZ8" i="31"/>
  <c r="AY10" i="31"/>
  <c r="AP10" i="31"/>
  <c r="AE10" i="31"/>
  <c r="X10" i="31"/>
  <c r="AB10" i="31"/>
  <c r="AM10" i="31"/>
  <c r="AN10" i="31" s="1"/>
  <c r="AZ10" i="31"/>
  <c r="V11" i="31"/>
  <c r="AK11" i="31"/>
  <c r="BA13" i="31"/>
  <c r="AH14" i="31"/>
  <c r="AQ14" i="31"/>
  <c r="Z15" i="31"/>
  <c r="AV17" i="31"/>
  <c r="AG17" i="31"/>
  <c r="Q17" i="31"/>
  <c r="AJ17" i="31"/>
  <c r="AZ17" i="31"/>
  <c r="AT20" i="31"/>
  <c r="AJ20" i="31"/>
  <c r="AB20" i="31"/>
  <c r="AA20" i="31"/>
  <c r="AM20" i="31"/>
  <c r="AY20" i="31"/>
  <c r="X22" i="31"/>
  <c r="AH22" i="31"/>
  <c r="AV22" i="31"/>
  <c r="AS23" i="31"/>
  <c r="AA32" i="31"/>
  <c r="AJ32" i="31"/>
  <c r="AY32" i="31"/>
  <c r="AY36" i="31"/>
  <c r="AN36" i="31"/>
  <c r="AE36" i="31"/>
  <c r="X36" i="31"/>
  <c r="AD36" i="31"/>
  <c r="AP36" i="31"/>
  <c r="AQ36" i="31" s="1"/>
  <c r="AY40" i="31"/>
  <c r="AN40" i="31"/>
  <c r="AE40" i="31"/>
  <c r="X40" i="31"/>
  <c r="AB40" i="31"/>
  <c r="AM40" i="31"/>
  <c r="AZ40" i="31"/>
  <c r="AY42" i="31"/>
  <c r="AN42" i="31"/>
  <c r="AE42" i="31"/>
  <c r="X42" i="31"/>
  <c r="AB42" i="31"/>
  <c r="AM42" i="31"/>
  <c r="AZ42" i="31"/>
  <c r="AZ44" i="31"/>
  <c r="AP44" i="31"/>
  <c r="AH44" i="31"/>
  <c r="AA44" i="31"/>
  <c r="AD44" i="31"/>
  <c r="AN44" i="31"/>
  <c r="AW46" i="31"/>
  <c r="AJ50" i="31"/>
  <c r="U53" i="31"/>
  <c r="AY6" i="31"/>
  <c r="AP6" i="31"/>
  <c r="AH6" i="31"/>
  <c r="X6" i="31"/>
  <c r="AD6" i="31"/>
  <c r="AE6" i="31" s="1"/>
  <c r="AQ6" i="31"/>
  <c r="R8" i="31"/>
  <c r="AD8" i="31"/>
  <c r="AP8" i="31"/>
  <c r="AQ8" i="31" s="1"/>
  <c r="R10" i="31"/>
  <c r="S10" i="31" s="1"/>
  <c r="AD10" i="31"/>
  <c r="AQ10" i="31"/>
  <c r="AB11" i="31"/>
  <c r="AT11" i="31"/>
  <c r="AV12" i="31"/>
  <c r="AM12" i="31"/>
  <c r="AD12" i="31"/>
  <c r="AB12" i="31"/>
  <c r="AN12" i="31"/>
  <c r="AZ12" i="31"/>
  <c r="AA14" i="31"/>
  <c r="AJ14" i="31"/>
  <c r="AT14" i="31"/>
  <c r="AY16" i="31"/>
  <c r="AP16" i="31"/>
  <c r="AH16" i="31"/>
  <c r="AA16" i="31"/>
  <c r="R16" i="31"/>
  <c r="S16" i="31" s="1"/>
  <c r="AB16" i="31"/>
  <c r="AM16" i="31"/>
  <c r="AN16" i="31" s="1"/>
  <c r="AV16" i="31"/>
  <c r="U17" i="31"/>
  <c r="AK17" i="31"/>
  <c r="AZ19" i="31"/>
  <c r="AP19" i="31"/>
  <c r="AD19" i="31"/>
  <c r="Q19" i="31"/>
  <c r="AG19" i="31"/>
  <c r="AV19" i="31"/>
  <c r="R20" i="31"/>
  <c r="S20" i="31" s="1"/>
  <c r="AD20" i="31"/>
  <c r="AN20" i="31"/>
  <c r="AZ20" i="31"/>
  <c r="AA22" i="31"/>
  <c r="AM22" i="31"/>
  <c r="AY22" i="31"/>
  <c r="Q23" i="31"/>
  <c r="AB32" i="31"/>
  <c r="AN32" i="31"/>
  <c r="AZ32" i="31"/>
  <c r="AT34" i="31"/>
  <c r="AH34" i="31"/>
  <c r="R36" i="31"/>
  <c r="S36" i="31" s="1"/>
  <c r="AH36" i="31"/>
  <c r="AT36" i="31"/>
  <c r="AZ37" i="31"/>
  <c r="AG37" i="31"/>
  <c r="Q37" i="31"/>
  <c r="AJ37" i="31"/>
  <c r="AY38" i="31"/>
  <c r="AP38" i="31"/>
  <c r="AH38" i="31"/>
  <c r="X38" i="31"/>
  <c r="AB38" i="31" s="1"/>
  <c r="AE38" i="31"/>
  <c r="AQ38" i="31"/>
  <c r="R40" i="31"/>
  <c r="S40" i="31" s="1"/>
  <c r="AD40" i="31"/>
  <c r="AP40" i="31"/>
  <c r="R42" i="31"/>
  <c r="S42" i="31" s="1"/>
  <c r="AD42" i="31"/>
  <c r="AP42" i="31"/>
  <c r="R44" i="31"/>
  <c r="S44" i="31" s="1"/>
  <c r="AE44" i="31"/>
  <c r="AQ44" i="31"/>
  <c r="AB46" i="31"/>
  <c r="AD53" i="31"/>
  <c r="AD13" i="31"/>
  <c r="AB15" i="31"/>
  <c r="AK15" i="31"/>
  <c r="AA18" i="31"/>
  <c r="AH18" i="31"/>
  <c r="AP18" i="31"/>
  <c r="AA24" i="31"/>
  <c r="AB24" i="31" s="1"/>
  <c r="AJ24" i="31"/>
  <c r="AD46" i="31"/>
  <c r="AN46" i="31"/>
  <c r="AE48" i="31"/>
  <c r="AE52" i="31"/>
  <c r="AD51" i="32"/>
  <c r="AD44" i="32"/>
  <c r="BB36" i="32"/>
  <c r="AV32" i="32"/>
  <c r="AJ32" i="32"/>
  <c r="W17" i="32"/>
  <c r="BB15" i="32"/>
  <c r="AY32" i="32"/>
  <c r="AP32" i="32"/>
  <c r="AG6" i="32"/>
  <c r="AY6" i="32"/>
  <c r="AG8" i="32"/>
  <c r="AD18" i="32"/>
  <c r="AD16" i="32"/>
  <c r="U8" i="32"/>
  <c r="AD14" i="32"/>
  <c r="AJ14" i="32"/>
  <c r="AY13" i="32"/>
  <c r="AD13" i="32"/>
  <c r="AG13" i="32"/>
  <c r="U11" i="32"/>
  <c r="U45" i="33"/>
  <c r="AD27" i="33"/>
  <c r="AM36" i="33"/>
  <c r="AS34" i="33"/>
  <c r="AP46" i="33"/>
  <c r="AJ21" i="33"/>
  <c r="AY11" i="33"/>
  <c r="U25" i="33"/>
  <c r="AD21" i="33"/>
  <c r="AD19" i="33"/>
  <c r="AD17" i="33"/>
  <c r="AG30" i="33"/>
  <c r="AM40" i="33"/>
  <c r="Z32" i="33"/>
  <c r="AR43" i="33"/>
  <c r="AS43" i="33" s="1"/>
  <c r="W25" i="33"/>
  <c r="W50" i="32"/>
  <c r="X50" i="32" s="1"/>
  <c r="AA26" i="32"/>
  <c r="AM18" i="32"/>
  <c r="AS9" i="32"/>
  <c r="AD35" i="33"/>
  <c r="AV21" i="33"/>
  <c r="AS21" i="33"/>
  <c r="AY17" i="33"/>
  <c r="X11" i="33"/>
  <c r="AY30" i="33"/>
  <c r="AR8" i="33"/>
  <c r="AA46" i="32"/>
  <c r="AD36" i="32"/>
  <c r="AG34" i="33"/>
  <c r="AV17" i="33"/>
  <c r="AS17" i="33"/>
  <c r="AP13" i="33"/>
  <c r="AV11" i="33"/>
  <c r="Z8" i="33"/>
  <c r="AS30" i="33"/>
  <c r="AV30" i="33"/>
  <c r="AP27" i="33"/>
  <c r="AO41" i="32"/>
  <c r="AP41" i="32" s="1"/>
  <c r="AY52" i="33"/>
  <c r="X38" i="33"/>
  <c r="W17" i="33"/>
  <c r="U43" i="33"/>
  <c r="K33" i="33"/>
  <c r="W14" i="33"/>
  <c r="X14" i="33" s="1"/>
  <c r="AG52" i="33"/>
  <c r="AS50" i="33"/>
  <c r="AV52" i="33"/>
  <c r="AG43" i="33"/>
  <c r="AM35" i="33"/>
  <c r="AV38" i="33"/>
  <c r="AD31" i="33"/>
  <c r="AJ46" i="33"/>
  <c r="AC23" i="33"/>
  <c r="AD23" i="33" s="1"/>
  <c r="AS15" i="33"/>
  <c r="AS9" i="33"/>
  <c r="U21" i="33"/>
  <c r="AS13" i="33"/>
  <c r="AP7" i="33"/>
  <c r="BB21" i="33"/>
  <c r="AG21" i="33"/>
  <c r="AP21" i="33"/>
  <c r="W37" i="33"/>
  <c r="X37" i="33" s="1"/>
  <c r="T37" i="33"/>
  <c r="U37" i="33" s="1"/>
  <c r="K37" i="33" s="1"/>
  <c r="AF6" i="33"/>
  <c r="AG6" i="33" s="1"/>
  <c r="AA52" i="33"/>
  <c r="W52" i="33"/>
  <c r="X52" i="33" s="1"/>
  <c r="BB40" i="33"/>
  <c r="AV43" i="33"/>
  <c r="AV32" i="33"/>
  <c r="W6" i="33"/>
  <c r="AG15" i="33"/>
  <c r="AM52" i="33"/>
  <c r="AS52" i="33"/>
  <c r="AD52" i="33"/>
  <c r="AD49" i="33"/>
  <c r="AD43" i="33"/>
  <c r="X43" i="33"/>
  <c r="AG38" i="33"/>
  <c r="AA36" i="33"/>
  <c r="AV31" i="33"/>
  <c r="U31" i="33"/>
  <c r="AO42" i="33"/>
  <c r="AP42" i="33" s="1"/>
  <c r="AR36" i="33"/>
  <c r="AS36" i="33" s="1"/>
  <c r="X35" i="33"/>
  <c r="AR35" i="33"/>
  <c r="AS35" i="33" s="1"/>
  <c r="AJ34" i="33"/>
  <c r="AY31" i="33"/>
  <c r="U46" i="33"/>
  <c r="AV46" i="33"/>
  <c r="AJ38" i="33"/>
  <c r="AS31" i="33"/>
  <c r="AP26" i="33"/>
  <c r="AP20" i="33"/>
  <c r="BB16" i="33"/>
  <c r="BB25" i="33"/>
  <c r="Z19" i="33"/>
  <c r="Z17" i="33"/>
  <c r="AA17" i="33" s="1"/>
  <c r="AV15" i="33"/>
  <c r="Z11" i="33"/>
  <c r="AA11" i="33" s="1"/>
  <c r="AY9" i="33"/>
  <c r="AD9" i="33"/>
  <c r="AV9" i="33"/>
  <c r="AA23" i="33"/>
  <c r="U19" i="33"/>
  <c r="AI15" i="33"/>
  <c r="AJ15" i="33" s="1"/>
  <c r="AA21" i="33"/>
  <c r="AM7" i="33"/>
  <c r="Z14" i="33"/>
  <c r="AY43" i="33"/>
  <c r="AM43" i="33"/>
  <c r="AM47" i="33"/>
  <c r="AF26" i="33"/>
  <c r="AD53" i="33"/>
  <c r="BB53" i="33"/>
  <c r="AY53" i="33"/>
  <c r="AS53" i="33"/>
  <c r="BB47" i="33"/>
  <c r="AJ47" i="33"/>
  <c r="AY47" i="33"/>
  <c r="Z47" i="33"/>
  <c r="AA47" i="33" s="1"/>
  <c r="AP47" i="33"/>
  <c r="AV47" i="33"/>
  <c r="AJ45" i="33"/>
  <c r="AG44" i="33"/>
  <c r="BB44" i="33"/>
  <c r="AM44" i="33"/>
  <c r="X41" i="33"/>
  <c r="BB41" i="33"/>
  <c r="AY41" i="33"/>
  <c r="AS41" i="33"/>
  <c r="AI39" i="33"/>
  <c r="AJ39" i="33" s="1"/>
  <c r="BB35" i="33"/>
  <c r="AV35" i="33"/>
  <c r="U35" i="33"/>
  <c r="AP35" i="33"/>
  <c r="AD34" i="33"/>
  <c r="AM30" i="33"/>
  <c r="W30" i="33"/>
  <c r="X30" i="33" s="1"/>
  <c r="AJ30" i="33"/>
  <c r="Z30" i="33"/>
  <c r="AA30" i="33" s="1"/>
  <c r="T30" i="33"/>
  <c r="U30" i="33" s="1"/>
  <c r="BB53" i="32"/>
  <c r="AG53" i="32"/>
  <c r="BB46" i="32"/>
  <c r="AG46" i="32"/>
  <c r="X36" i="32"/>
  <c r="AY30" i="32"/>
  <c r="Z27" i="32"/>
  <c r="BB23" i="32"/>
  <c r="AP21" i="32"/>
  <c r="BB34" i="32"/>
  <c r="AA32" i="32"/>
  <c r="AS32" i="32"/>
  <c r="AI30" i="32"/>
  <c r="AD6" i="32"/>
  <c r="AM6" i="32"/>
  <c r="AG18" i="32"/>
  <c r="BB9" i="32"/>
  <c r="BB18" i="32"/>
  <c r="AJ18" i="32"/>
  <c r="AY18" i="32"/>
  <c r="AG16" i="32"/>
  <c r="AY14" i="32"/>
  <c r="AP13" i="32"/>
  <c r="AJ11" i="32"/>
  <c r="BB14" i="32"/>
  <c r="AY11" i="32"/>
  <c r="X11" i="32"/>
  <c r="AG11" i="32"/>
  <c r="BB11" i="32"/>
  <c r="AJ10" i="32"/>
  <c r="AD9" i="32"/>
  <c r="AF51" i="32"/>
  <c r="AL54" i="32"/>
  <c r="Z49" i="32"/>
  <c r="AA49" i="32" s="1"/>
  <c r="K49" i="32" s="1"/>
  <c r="Q49" i="32" s="1"/>
  <c r="AP26" i="32"/>
  <c r="AP15" i="32"/>
  <c r="X27" i="32"/>
  <c r="AG15" i="32"/>
  <c r="AJ48" i="32"/>
  <c r="AJ27" i="32"/>
  <c r="U21" i="32"/>
  <c r="AS15" i="32"/>
  <c r="AY47" i="32"/>
  <c r="AG51" i="32"/>
  <c r="AC46" i="32"/>
  <c r="AM30" i="32"/>
  <c r="BB21" i="32"/>
  <c r="AS6" i="32"/>
  <c r="AO31" i="32"/>
  <c r="M51" i="34"/>
  <c r="M53" i="34"/>
  <c r="O24" i="34"/>
  <c r="M24" i="34"/>
  <c r="M50" i="34"/>
  <c r="O50" i="34"/>
  <c r="O15" i="34"/>
  <c r="M15" i="34"/>
  <c r="M11" i="34"/>
  <c r="O11" i="34"/>
  <c r="O51" i="34"/>
  <c r="O49" i="34"/>
  <c r="M49" i="34"/>
  <c r="M35" i="34"/>
  <c r="O35" i="34"/>
  <c r="M37" i="34"/>
  <c r="O37" i="34"/>
  <c r="O53" i="34"/>
  <c r="O48" i="34"/>
  <c r="M48" i="34"/>
  <c r="M13" i="34"/>
  <c r="O13" i="34"/>
  <c r="M18" i="34"/>
  <c r="O18" i="34"/>
  <c r="O22" i="34"/>
  <c r="M22" i="34"/>
  <c r="M45" i="34"/>
  <c r="O45" i="34"/>
  <c r="M20" i="34"/>
  <c r="O20" i="34"/>
  <c r="O25" i="34"/>
  <c r="M25" i="34"/>
  <c r="O54" i="34"/>
  <c r="M54" i="34"/>
  <c r="O19" i="34"/>
  <c r="M19" i="34"/>
  <c r="O31" i="34"/>
  <c r="M31" i="34"/>
  <c r="O28" i="34"/>
  <c r="M28" i="34"/>
  <c r="O27" i="34"/>
  <c r="M27" i="34"/>
  <c r="O17" i="34"/>
  <c r="M17" i="34"/>
  <c r="O23" i="34"/>
  <c r="M23" i="34"/>
  <c r="O14" i="34"/>
  <c r="M14" i="34"/>
  <c r="O26" i="34"/>
  <c r="M26" i="34"/>
  <c r="M9" i="34"/>
  <c r="O9" i="34"/>
  <c r="M16" i="34"/>
  <c r="O16" i="34"/>
  <c r="K48" i="33"/>
  <c r="AS49" i="33"/>
  <c r="K51" i="33"/>
  <c r="X44" i="33"/>
  <c r="AP44" i="33"/>
  <c r="AY44" i="33"/>
  <c r="AJ44" i="33"/>
  <c r="AD44" i="33"/>
  <c r="AV44" i="33"/>
  <c r="AS44" i="33"/>
  <c r="AV54" i="33"/>
  <c r="U53" i="33"/>
  <c r="AV53" i="33"/>
  <c r="AG53" i="33"/>
  <c r="AP53" i="33"/>
  <c r="AM27" i="33"/>
  <c r="AG27" i="33"/>
  <c r="AV27" i="33"/>
  <c r="AJ27" i="33"/>
  <c r="AY27" i="33"/>
  <c r="AS27" i="33"/>
  <c r="X27" i="33"/>
  <c r="AA27" i="33"/>
  <c r="U27" i="33"/>
  <c r="AV36" i="33"/>
  <c r="Z34" i="33"/>
  <c r="AA34" i="33" s="1"/>
  <c r="AS42" i="33"/>
  <c r="AV42" i="33"/>
  <c r="AG36" i="33"/>
  <c r="AY35" i="33"/>
  <c r="BB34" i="33"/>
  <c r="AS38" i="33"/>
  <c r="AP38" i="33"/>
  <c r="Z38" i="33"/>
  <c r="AA38" i="33" s="1"/>
  <c r="T38" i="33"/>
  <c r="U38" i="33" s="1"/>
  <c r="AM38" i="33"/>
  <c r="AG35" i="33"/>
  <c r="AM34" i="33"/>
  <c r="AJ31" i="33"/>
  <c r="BB31" i="33"/>
  <c r="X46" i="33"/>
  <c r="AG46" i="33"/>
  <c r="AM46" i="33"/>
  <c r="W39" i="33"/>
  <c r="X39" i="33" s="1"/>
  <c r="AG31" i="33"/>
  <c r="AP18" i="33"/>
  <c r="AP16" i="33"/>
  <c r="AY14" i="33"/>
  <c r="AS14" i="33"/>
  <c r="AM14" i="33"/>
  <c r="AG14" i="33"/>
  <c r="AV14" i="33"/>
  <c r="AA14" i="33"/>
  <c r="U14" i="33"/>
  <c r="AJ14" i="33"/>
  <c r="AY12" i="33"/>
  <c r="AS12" i="33"/>
  <c r="X12" i="33"/>
  <c r="AM12" i="33"/>
  <c r="AG12" i="33"/>
  <c r="AV12" i="33"/>
  <c r="U12" i="33"/>
  <c r="AJ12" i="33"/>
  <c r="AY10" i="33"/>
  <c r="AS10" i="33"/>
  <c r="X10" i="33"/>
  <c r="AM10" i="33"/>
  <c r="AG10" i="33"/>
  <c r="AV10" i="33"/>
  <c r="AA10" i="33"/>
  <c r="U10" i="33"/>
  <c r="AJ10" i="33"/>
  <c r="AY8" i="33"/>
  <c r="AS8" i="33"/>
  <c r="X8" i="33"/>
  <c r="AM8" i="33"/>
  <c r="AG8" i="33"/>
  <c r="AV8" i="33"/>
  <c r="AA8" i="33"/>
  <c r="U8" i="33"/>
  <c r="AJ8" i="33"/>
  <c r="AY6" i="33"/>
  <c r="AS6" i="33"/>
  <c r="X6" i="33"/>
  <c r="AM6" i="33"/>
  <c r="AV6" i="33"/>
  <c r="AA6" i="33"/>
  <c r="U6" i="33"/>
  <c r="AJ6" i="33"/>
  <c r="X25" i="33"/>
  <c r="AY25" i="33"/>
  <c r="AJ23" i="33"/>
  <c r="X19" i="33"/>
  <c r="AO19" i="33"/>
  <c r="AP19" i="33" s="1"/>
  <c r="X17" i="33"/>
  <c r="AY13" i="33"/>
  <c r="AD13" i="33"/>
  <c r="AJ7" i="33"/>
  <c r="AM23" i="33"/>
  <c r="AM21" i="33"/>
  <c r="AS19" i="33"/>
  <c r="AM15" i="33"/>
  <c r="AA25" i="33"/>
  <c r="W23" i="33"/>
  <c r="X23" i="33" s="1"/>
  <c r="BB19" i="33"/>
  <c r="AG19" i="33"/>
  <c r="BB17" i="33"/>
  <c r="AG17" i="33"/>
  <c r="AA15" i="33"/>
  <c r="W13" i="33"/>
  <c r="X13" i="33" s="1"/>
  <c r="BB9" i="33"/>
  <c r="Z7" i="33"/>
  <c r="U17" i="33"/>
  <c r="AP15" i="33"/>
  <c r="U15" i="33"/>
  <c r="BB45" i="33"/>
  <c r="AS54" i="33"/>
  <c r="X54" i="33"/>
  <c r="AP54" i="33"/>
  <c r="U54" i="33"/>
  <c r="AG54" i="33"/>
  <c r="AY54" i="33"/>
  <c r="T39" i="33"/>
  <c r="U39" i="33" s="1"/>
  <c r="Z39" i="33"/>
  <c r="AA39" i="33" s="1"/>
  <c r="AY42" i="33"/>
  <c r="AJ42" i="33"/>
  <c r="U36" i="33"/>
  <c r="AY36" i="33"/>
  <c r="AD36" i="33"/>
  <c r="BB32" i="33"/>
  <c r="AG32" i="33"/>
  <c r="AA32" i="33"/>
  <c r="AP32" i="33"/>
  <c r="U32" i="33"/>
  <c r="AY32" i="33"/>
  <c r="AD32" i="33"/>
  <c r="AJ32" i="33"/>
  <c r="K28" i="33"/>
  <c r="AY24" i="33"/>
  <c r="AS24" i="33"/>
  <c r="X24" i="33"/>
  <c r="AM24" i="33"/>
  <c r="AG24" i="33"/>
  <c r="AV24" i="33"/>
  <c r="AA24" i="33"/>
  <c r="U24" i="33"/>
  <c r="AJ24" i="33"/>
  <c r="AY22" i="33"/>
  <c r="AS22" i="33"/>
  <c r="X22" i="33"/>
  <c r="AM22" i="33"/>
  <c r="AG22" i="33"/>
  <c r="AV22" i="33"/>
  <c r="U22" i="33"/>
  <c r="AJ22" i="33"/>
  <c r="AY20" i="33"/>
  <c r="AS20" i="33"/>
  <c r="X20" i="33"/>
  <c r="AM20" i="33"/>
  <c r="AG20" i="33"/>
  <c r="AV20" i="33"/>
  <c r="AA20" i="33"/>
  <c r="U20" i="33"/>
  <c r="AJ20" i="33"/>
  <c r="AY18" i="33"/>
  <c r="AS18" i="33"/>
  <c r="X18" i="33"/>
  <c r="AM18" i="33"/>
  <c r="AG18" i="33"/>
  <c r="AV18" i="33"/>
  <c r="AA18" i="33"/>
  <c r="U18" i="33"/>
  <c r="AJ18" i="33"/>
  <c r="AY16" i="33"/>
  <c r="AS16" i="33"/>
  <c r="X16" i="33"/>
  <c r="AM16" i="33"/>
  <c r="AG16" i="33"/>
  <c r="AV16" i="33"/>
  <c r="AA16" i="33"/>
  <c r="U16" i="33"/>
  <c r="AJ16" i="33"/>
  <c r="BB36" i="33"/>
  <c r="BB24" i="33"/>
  <c r="BB22" i="33"/>
  <c r="BB20" i="33"/>
  <c r="T9" i="33"/>
  <c r="U9" i="33" s="1"/>
  <c r="Z9" i="33"/>
  <c r="AA9" i="33" s="1"/>
  <c r="AA19" i="33"/>
  <c r="W15" i="33"/>
  <c r="X15" i="33" s="1"/>
  <c r="W9" i="33"/>
  <c r="X9" i="33" s="1"/>
  <c r="AF25" i="33"/>
  <c r="AG25" i="33" s="1"/>
  <c r="AP17" i="33"/>
  <c r="AD50" i="33"/>
  <c r="AP50" i="33"/>
  <c r="AJ50" i="33"/>
  <c r="U50" i="33"/>
  <c r="AG50" i="33"/>
  <c r="BB50" i="33"/>
  <c r="AV50" i="33"/>
  <c r="AY50" i="33"/>
  <c r="AM49" i="33"/>
  <c r="AG49" i="33"/>
  <c r="AA49" i="33"/>
  <c r="AV49" i="33"/>
  <c r="U49" i="33"/>
  <c r="AJ49" i="33"/>
  <c r="AS45" i="33"/>
  <c r="AM45" i="33"/>
  <c r="W45" i="33"/>
  <c r="X45" i="33" s="1"/>
  <c r="AP45" i="33"/>
  <c r="AD54" i="33"/>
  <c r="Z53" i="33"/>
  <c r="AA53" i="33" s="1"/>
  <c r="AY45" i="33"/>
  <c r="AD42" i="33"/>
  <c r="AJ36" i="33"/>
  <c r="AM42" i="33"/>
  <c r="X42" i="33"/>
  <c r="AP36" i="33"/>
  <c r="U42" i="33"/>
  <c r="AM32" i="33"/>
  <c r="X32" i="33"/>
  <c r="AS26" i="33"/>
  <c r="AG26" i="33"/>
  <c r="U26" i="33"/>
  <c r="AM26" i="33"/>
  <c r="AA26" i="33"/>
  <c r="BB26" i="33"/>
  <c r="X26" i="33"/>
  <c r="AJ26" i="33"/>
  <c r="AD24" i="33"/>
  <c r="AD18" i="33"/>
  <c r="AV19" i="33"/>
  <c r="AJ13" i="33"/>
  <c r="AM13" i="33"/>
  <c r="BB23" i="33"/>
  <c r="AG23" i="33"/>
  <c r="BB13" i="33"/>
  <c r="AG13" i="33"/>
  <c r="BB7" i="33"/>
  <c r="AG7" i="33"/>
  <c r="AP23" i="33"/>
  <c r="U23" i="33"/>
  <c r="U13" i="33"/>
  <c r="AL9" i="33"/>
  <c r="AM9" i="33" s="1"/>
  <c r="U7" i="33"/>
  <c r="AM50" i="33"/>
  <c r="AY49" i="33"/>
  <c r="W49" i="33"/>
  <c r="X49" i="33" s="1"/>
  <c r="AP49" i="33"/>
  <c r="W50" i="33"/>
  <c r="X50" i="33" s="1"/>
  <c r="Z44" i="33"/>
  <c r="AA44" i="33" s="1"/>
  <c r="AD45" i="33"/>
  <c r="AU45" i="33"/>
  <c r="AV45" i="33" s="1"/>
  <c r="AL54" i="33"/>
  <c r="AM54" i="33" s="1"/>
  <c r="AJ54" i="33"/>
  <c r="AA54" i="33"/>
  <c r="AV41" i="33"/>
  <c r="AJ41" i="33"/>
  <c r="AD41" i="33"/>
  <c r="AG41" i="33"/>
  <c r="AP41" i="33"/>
  <c r="T41" i="33"/>
  <c r="U41" i="33" s="1"/>
  <c r="Z41" i="33"/>
  <c r="AA41" i="33" s="1"/>
  <c r="AM41" i="33"/>
  <c r="X36" i="33"/>
  <c r="Z35" i="33"/>
  <c r="AA35" i="33" s="1"/>
  <c r="AG42" i="33"/>
  <c r="AA42" i="33"/>
  <c r="AR40" i="33"/>
  <c r="AS40" i="33" s="1"/>
  <c r="AO34" i="33"/>
  <c r="AP34" i="33" s="1"/>
  <c r="T34" i="33"/>
  <c r="U34" i="33" s="1"/>
  <c r="W34" i="33"/>
  <c r="X34" i="33" s="1"/>
  <c r="BB38" i="33"/>
  <c r="AY38" i="33"/>
  <c r="AO31" i="33"/>
  <c r="AP31" i="33" s="1"/>
  <c r="AC46" i="33"/>
  <c r="AD46" i="33" s="1"/>
  <c r="Z45" i="33"/>
  <c r="AA45" i="33" s="1"/>
  <c r="AC38" i="33"/>
  <c r="AD38" i="33" s="1"/>
  <c r="AV34" i="33"/>
  <c r="AD26" i="33"/>
  <c r="AV26" i="33"/>
  <c r="AP24" i="33"/>
  <c r="AD22" i="33"/>
  <c r="AD20" i="33"/>
  <c r="AD16" i="33"/>
  <c r="AP25" i="33"/>
  <c r="AV23" i="33"/>
  <c r="AJ19" i="33"/>
  <c r="AJ17" i="33"/>
  <c r="BB14" i="33"/>
  <c r="BB12" i="33"/>
  <c r="AY7" i="33"/>
  <c r="AV7" i="33"/>
  <c r="AS23" i="33"/>
  <c r="W21" i="33"/>
  <c r="X21" i="33" s="1"/>
  <c r="BB15" i="33"/>
  <c r="AA13" i="33"/>
  <c r="AR11" i="33"/>
  <c r="AS11" i="33" s="1"/>
  <c r="K11" i="33" s="1"/>
  <c r="AA7" i="33"/>
  <c r="AS25" i="33"/>
  <c r="Z22" i="33"/>
  <c r="AA22" i="33" s="1"/>
  <c r="Z12" i="33"/>
  <c r="AA12" i="33" s="1"/>
  <c r="AP31" i="32"/>
  <c r="AL53" i="32"/>
  <c r="AV46" i="32"/>
  <c r="AS44" i="32"/>
  <c r="Z44" i="32"/>
  <c r="AA44" i="32" s="1"/>
  <c r="AG48" i="32"/>
  <c r="W48" i="32"/>
  <c r="X48" i="32" s="1"/>
  <c r="AX48" i="32"/>
  <c r="AY48" i="32" s="1"/>
  <c r="Z36" i="32"/>
  <c r="AA36" i="32" s="1"/>
  <c r="AG33" i="32"/>
  <c r="AP33" i="32"/>
  <c r="AV34" i="32"/>
  <c r="AJ34" i="32"/>
  <c r="AD33" i="32"/>
  <c r="AG32" i="32"/>
  <c r="BB54" i="32"/>
  <c r="Z54" i="32"/>
  <c r="AA54" i="32" s="1"/>
  <c r="AV52" i="32"/>
  <c r="AP44" i="32"/>
  <c r="AJ30" i="32"/>
  <c r="AR40" i="32"/>
  <c r="AS40" i="32" s="1"/>
  <c r="AS46" i="32"/>
  <c r="AY44" i="32"/>
  <c r="AS33" i="32"/>
  <c r="AU22" i="32"/>
  <c r="AV22" i="32" s="1"/>
  <c r="AM20" i="32"/>
  <c r="AV27" i="32"/>
  <c r="U25" i="32"/>
  <c r="AP23" i="32"/>
  <c r="W23" i="32"/>
  <c r="X23" i="32" s="1"/>
  <c r="AD15" i="32"/>
  <c r="AL27" i="32"/>
  <c r="AM27" i="32" s="1"/>
  <c r="AD23" i="32"/>
  <c r="U15" i="32"/>
  <c r="BB13" i="32"/>
  <c r="BB8" i="32"/>
  <c r="AJ16" i="32"/>
  <c r="AJ13" i="32"/>
  <c r="AS13" i="32"/>
  <c r="X10" i="32"/>
  <c r="AP9" i="32"/>
  <c r="AD8" i="32"/>
  <c r="K8" i="32" s="1"/>
  <c r="AA8" i="32"/>
  <c r="AS8" i="32"/>
  <c r="AV20" i="32"/>
  <c r="X20" i="32"/>
  <c r="AS23" i="32"/>
  <c r="U23" i="32"/>
  <c r="BB20" i="32"/>
  <c r="AS26" i="32"/>
  <c r="AY20" i="32"/>
  <c r="AD26" i="32"/>
  <c r="AP19" i="32"/>
  <c r="W22" i="32"/>
  <c r="X22" i="32" s="1"/>
  <c r="Z20" i="32"/>
  <c r="AA20" i="32" s="1"/>
  <c r="AG14" i="32"/>
  <c r="W12" i="32"/>
  <c r="X12" i="32" s="1"/>
  <c r="AV9" i="32"/>
  <c r="BB16" i="32"/>
  <c r="Z16" i="32"/>
  <c r="AA16" i="32" s="1"/>
  <c r="AS16" i="32"/>
  <c r="AO10" i="32"/>
  <c r="AP10" i="32" s="1"/>
  <c r="AJ9" i="32"/>
  <c r="AP8" i="32"/>
  <c r="AS14" i="32"/>
  <c r="AV14" i="32"/>
  <c r="AA13" i="32"/>
  <c r="AR11" i="32"/>
  <c r="AS11" i="32" s="1"/>
  <c r="AY9" i="32"/>
  <c r="AL9" i="32"/>
  <c r="AM9" i="32" s="1"/>
  <c r="AJ8" i="32"/>
  <c r="X8" i="32"/>
  <c r="K40" i="32"/>
  <c r="Q40" i="32" s="1"/>
  <c r="AY53" i="32"/>
  <c r="AV53" i="32"/>
  <c r="X53" i="32"/>
  <c r="AM53" i="32"/>
  <c r="AJ53" i="32"/>
  <c r="AS53" i="32"/>
  <c r="AD54" i="32"/>
  <c r="AV54" i="32"/>
  <c r="AS54" i="32"/>
  <c r="BB52" i="32"/>
  <c r="AY52" i="32"/>
  <c r="AJ52" i="32"/>
  <c r="U52" i="32"/>
  <c r="AP52" i="32"/>
  <c r="AP54" i="32"/>
  <c r="BB41" i="32"/>
  <c r="AC38" i="32"/>
  <c r="AD38" i="32" s="1"/>
  <c r="AD46" i="32"/>
  <c r="U46" i="32"/>
  <c r="AM46" i="32"/>
  <c r="BB44" i="32"/>
  <c r="W44" i="32"/>
  <c r="X44" i="32" s="1"/>
  <c r="AJ44" i="32"/>
  <c r="AG44" i="32"/>
  <c r="Z43" i="32"/>
  <c r="AA43" i="32" s="1"/>
  <c r="AD31" i="32"/>
  <c r="AD28" i="32"/>
  <c r="AR36" i="32"/>
  <c r="AS36" i="32" s="1"/>
  <c r="K36" i="32" s="1"/>
  <c r="Q36" i="32" s="1"/>
  <c r="AV36" i="32"/>
  <c r="AV26" i="32"/>
  <c r="W26" i="32"/>
  <c r="X26" i="32" s="1"/>
  <c r="AP24" i="32"/>
  <c r="AG20" i="32"/>
  <c r="U20" i="32"/>
  <c r="AJ26" i="32"/>
  <c r="T30" i="32"/>
  <c r="U30" i="32" s="1"/>
  <c r="Z30" i="32"/>
  <c r="AA30" i="32" s="1"/>
  <c r="AD25" i="32"/>
  <c r="AJ24" i="32"/>
  <c r="AV23" i="32"/>
  <c r="AY23" i="32"/>
  <c r="AM23" i="32"/>
  <c r="AA23" i="32"/>
  <c r="AJ23" i="32"/>
  <c r="AV21" i="32"/>
  <c r="X21" i="32"/>
  <c r="AJ21" i="32"/>
  <c r="AM21" i="32"/>
  <c r="AY21" i="32"/>
  <c r="AJ20" i="32"/>
  <c r="AY15" i="32"/>
  <c r="AA15" i="32"/>
  <c r="AV15" i="32"/>
  <c r="X15" i="32"/>
  <c r="AM15" i="32"/>
  <c r="AJ15" i="32"/>
  <c r="AS25" i="32"/>
  <c r="AG23" i="32"/>
  <c r="AS21" i="32"/>
  <c r="AG19" i="32"/>
  <c r="U17" i="32"/>
  <c r="AP20" i="32"/>
  <c r="AO7" i="32"/>
  <c r="AP7" i="32" s="1"/>
  <c r="K7" i="32" s="1"/>
  <c r="BB25" i="32"/>
  <c r="W18" i="32"/>
  <c r="X18" i="32" s="1"/>
  <c r="W30" i="32"/>
  <c r="X30" i="32" s="1"/>
  <c r="W9" i="32"/>
  <c r="X9" i="32" s="1"/>
  <c r="Z9" i="32"/>
  <c r="AA9" i="32" s="1"/>
  <c r="T9" i="32"/>
  <c r="U9" i="32" s="1"/>
  <c r="AY51" i="32"/>
  <c r="AA51" i="32"/>
  <c r="AV51" i="32"/>
  <c r="AM51" i="32"/>
  <c r="AJ51" i="32"/>
  <c r="X51" i="32"/>
  <c r="Z53" i="32"/>
  <c r="AA53" i="32" s="1"/>
  <c r="AS51" i="32"/>
  <c r="AG52" i="32"/>
  <c r="AY54" i="32"/>
  <c r="AJ54" i="32"/>
  <c r="AG54" i="32"/>
  <c r="AM52" i="32"/>
  <c r="X52" i="32"/>
  <c r="AS52" i="32"/>
  <c r="AD43" i="32"/>
  <c r="AD37" i="32"/>
  <c r="AD35" i="32"/>
  <c r="AC50" i="32"/>
  <c r="AD50" i="32" s="1"/>
  <c r="K50" i="32" s="1"/>
  <c r="Q50" i="32" s="1"/>
  <c r="Z47" i="32"/>
  <c r="AA47" i="32" s="1"/>
  <c r="K47" i="32" s="1"/>
  <c r="Q47" i="32" s="1"/>
  <c r="AJ46" i="32"/>
  <c r="AS42" i="32"/>
  <c r="K42" i="32" s="1"/>
  <c r="Q42" i="32" s="1"/>
  <c r="W38" i="32"/>
  <c r="X38" i="32" s="1"/>
  <c r="Z37" i="32"/>
  <c r="AA37" i="32" s="1"/>
  <c r="AP28" i="32"/>
  <c r="BB26" i="32"/>
  <c r="AS22" i="32"/>
  <c r="AG22" i="32"/>
  <c r="U22" i="32"/>
  <c r="AY26" i="32"/>
  <c r="AP25" i="32"/>
  <c r="AV24" i="32"/>
  <c r="AJ22" i="32"/>
  <c r="AD19" i="32"/>
  <c r="AD17" i="32"/>
  <c r="U34" i="32"/>
  <c r="AA34" i="32"/>
  <c r="Z33" i="32"/>
  <c r="AA33" i="32" s="1"/>
  <c r="T33" i="32"/>
  <c r="U33" i="32" s="1"/>
  <c r="BB30" i="32"/>
  <c r="AG30" i="32"/>
  <c r="AP30" i="32"/>
  <c r="AA24" i="32"/>
  <c r="AM22" i="32"/>
  <c r="Z21" i="32"/>
  <c r="AA21" i="32" s="1"/>
  <c r="AR20" i="32"/>
  <c r="AS20" i="32" s="1"/>
  <c r="AG17" i="32"/>
  <c r="AD22" i="32"/>
  <c r="BB17" i="32"/>
  <c r="BB19" i="32"/>
  <c r="W14" i="32"/>
  <c r="X14" i="32" s="1"/>
  <c r="Z14" i="32"/>
  <c r="AA14" i="32" s="1"/>
  <c r="Z22" i="32"/>
  <c r="AA22" i="32" s="1"/>
  <c r="K16" i="32"/>
  <c r="W13" i="32"/>
  <c r="X13" i="32" s="1"/>
  <c r="T13" i="32"/>
  <c r="U13" i="32" s="1"/>
  <c r="AM54" i="32"/>
  <c r="X54" i="32"/>
  <c r="U54" i="32"/>
  <c r="Z45" i="32"/>
  <c r="T38" i="32"/>
  <c r="U38" i="32" s="1"/>
  <c r="Z38" i="32"/>
  <c r="AA38" i="32" s="1"/>
  <c r="Z35" i="32"/>
  <c r="AA35" i="32" s="1"/>
  <c r="AV31" i="32"/>
  <c r="AA31" i="32"/>
  <c r="U31" i="32"/>
  <c r="AJ31" i="32"/>
  <c r="AY31" i="32"/>
  <c r="AS31" i="32"/>
  <c r="X31" i="32"/>
  <c r="AM31" i="32"/>
  <c r="AG31" i="32"/>
  <c r="AG24" i="32"/>
  <c r="U24" i="32"/>
  <c r="AS24" i="32"/>
  <c r="BB31" i="32"/>
  <c r="AM26" i="32"/>
  <c r="AM24" i="32"/>
  <c r="Z19" i="32"/>
  <c r="Z10" i="32"/>
  <c r="AA10" i="32" s="1"/>
  <c r="T10" i="32"/>
  <c r="U10" i="32" s="1"/>
  <c r="U51" i="32"/>
  <c r="AD52" i="32"/>
  <c r="AA52" i="32"/>
  <c r="BB51" i="32"/>
  <c r="AY45" i="32"/>
  <c r="AM45" i="32"/>
  <c r="AA45" i="32"/>
  <c r="AJ45" i="32"/>
  <c r="X45" i="32"/>
  <c r="AV45" i="32"/>
  <c r="U45" i="32"/>
  <c r="AS45" i="32"/>
  <c r="AG45" i="32"/>
  <c r="AY43" i="32"/>
  <c r="AS43" i="32"/>
  <c r="X43" i="32"/>
  <c r="AM43" i="32"/>
  <c r="AG43" i="32"/>
  <c r="AV43" i="32"/>
  <c r="U43" i="32"/>
  <c r="AJ43" i="32"/>
  <c r="AY41" i="32"/>
  <c r="AS41" i="32"/>
  <c r="X41" i="32"/>
  <c r="AV41" i="32"/>
  <c r="AA41" i="32"/>
  <c r="U41" i="32"/>
  <c r="AJ41" i="32"/>
  <c r="AM41" i="32"/>
  <c r="AG41" i="32"/>
  <c r="AY39" i="32"/>
  <c r="AS39" i="32"/>
  <c r="X39" i="32"/>
  <c r="AV39" i="32"/>
  <c r="AA39" i="32"/>
  <c r="U39" i="32"/>
  <c r="AJ39" i="32"/>
  <c r="AG39" i="32"/>
  <c r="AM39" i="32"/>
  <c r="AY37" i="32"/>
  <c r="AS37" i="32"/>
  <c r="X37" i="32"/>
  <c r="AV37" i="32"/>
  <c r="U37" i="32"/>
  <c r="AJ37" i="32"/>
  <c r="AM37" i="32"/>
  <c r="AG37" i="32"/>
  <c r="AV35" i="32"/>
  <c r="U35" i="32"/>
  <c r="AJ35" i="32"/>
  <c r="AY35" i="32"/>
  <c r="AM35" i="32"/>
  <c r="X35" i="32"/>
  <c r="AS35" i="32"/>
  <c r="AG35" i="32"/>
  <c r="BB39" i="32"/>
  <c r="AY46" i="32"/>
  <c r="AC48" i="32"/>
  <c r="AD48" i="32" s="1"/>
  <c r="BB45" i="32"/>
  <c r="AV28" i="32"/>
  <c r="AA28" i="32"/>
  <c r="U28" i="32"/>
  <c r="AJ28" i="32"/>
  <c r="AY28" i="32"/>
  <c r="AS28" i="32"/>
  <c r="X28" i="32"/>
  <c r="AM28" i="32"/>
  <c r="AG28" i="32"/>
  <c r="AD24" i="32"/>
  <c r="U26" i="32"/>
  <c r="AV25" i="32"/>
  <c r="AJ25" i="32"/>
  <c r="X25" i="32"/>
  <c r="AY25" i="32"/>
  <c r="AM25" i="32"/>
  <c r="AA25" i="32"/>
  <c r="X24" i="32"/>
  <c r="AV19" i="32"/>
  <c r="X19" i="32"/>
  <c r="AJ19" i="32"/>
  <c r="AY19" i="32"/>
  <c r="AM19" i="32"/>
  <c r="AA19" i="32"/>
  <c r="AJ17" i="32"/>
  <c r="AY17" i="32"/>
  <c r="AV17" i="32"/>
  <c r="X17" i="32"/>
  <c r="AM17" i="32"/>
  <c r="AM34" i="32"/>
  <c r="AS34" i="32"/>
  <c r="X34" i="32"/>
  <c r="AO34" i="32"/>
  <c r="AP34" i="32" s="1"/>
  <c r="W32" i="32"/>
  <c r="X32" i="32" s="1"/>
  <c r="T32" i="32"/>
  <c r="U32" i="32" s="1"/>
  <c r="BB27" i="32"/>
  <c r="AG27" i="32"/>
  <c r="AA27" i="32"/>
  <c r="AP27" i="32"/>
  <c r="U27" i="32"/>
  <c r="AG25" i="32"/>
  <c r="AY24" i="32"/>
  <c r="AY22" i="32"/>
  <c r="U19" i="32"/>
  <c r="Z17" i="32"/>
  <c r="AA17" i="32" s="1"/>
  <c r="AP22" i="32"/>
  <c r="Z6" i="32"/>
  <c r="AA6" i="32" s="1"/>
  <c r="T6" i="32"/>
  <c r="BB22" i="32"/>
  <c r="K12" i="32"/>
  <c r="AN35" i="31"/>
  <c r="AT35" i="31"/>
  <c r="U35" i="31"/>
  <c r="AG35" i="31"/>
  <c r="R34" i="31"/>
  <c r="S34" i="31" s="1"/>
  <c r="AD34" i="31"/>
  <c r="AM34" i="31"/>
  <c r="AN34" i="31" s="1"/>
  <c r="AV34" i="31"/>
  <c r="X34" i="31"/>
  <c r="AE34" i="31"/>
  <c r="AP34" i="31"/>
  <c r="AY34" i="31"/>
  <c r="AB34" i="31"/>
  <c r="AJ34" i="31"/>
  <c r="AV33" i="31"/>
  <c r="U33" i="31"/>
  <c r="AP33" i="31"/>
  <c r="AE31" i="31"/>
  <c r="R7" i="31"/>
  <c r="S7" i="31" s="1"/>
  <c r="V7" i="31"/>
  <c r="AD7" i="31"/>
  <c r="AH7" i="31"/>
  <c r="AP7" i="31"/>
  <c r="AT7" i="31"/>
  <c r="R9" i="31"/>
  <c r="AD9" i="31"/>
  <c r="AH9" i="31"/>
  <c r="AP9" i="31"/>
  <c r="AT9" i="31"/>
  <c r="AL11" i="31"/>
  <c r="AL13" i="31"/>
  <c r="AL15" i="31"/>
  <c r="AL17" i="31"/>
  <c r="AL19" i="31"/>
  <c r="AL21" i="31"/>
  <c r="Q6" i="31"/>
  <c r="U6" i="31"/>
  <c r="V6" i="31" s="1"/>
  <c r="Y6" i="31"/>
  <c r="AC6" i="31"/>
  <c r="AG6" i="31"/>
  <c r="AK6" i="31"/>
  <c r="AO6" i="31"/>
  <c r="AS6" i="31"/>
  <c r="AW6" i="31"/>
  <c r="AA7" i="31"/>
  <c r="AE7" i="31"/>
  <c r="AM7" i="31"/>
  <c r="AQ7" i="31"/>
  <c r="AY7" i="31"/>
  <c r="Q8" i="31"/>
  <c r="AO8" i="31" s="1"/>
  <c r="U8" i="31"/>
  <c r="V8" i="31" s="1"/>
  <c r="AG8" i="31"/>
  <c r="AK8" i="31"/>
  <c r="AS8" i="31"/>
  <c r="AW8" i="31"/>
  <c r="AA9" i="31"/>
  <c r="AE9" i="31"/>
  <c r="AM9" i="31"/>
  <c r="AQ9" i="31"/>
  <c r="AY9" i="31"/>
  <c r="AW10" i="31"/>
  <c r="Q10" i="31"/>
  <c r="BA10" i="31" s="1"/>
  <c r="U10" i="31"/>
  <c r="Y10" i="31"/>
  <c r="AG10" i="31"/>
  <c r="AK10" i="31"/>
  <c r="AS10" i="31"/>
  <c r="AX10" i="31"/>
  <c r="AY11" i="31"/>
  <c r="AU11" i="31"/>
  <c r="AM11" i="31"/>
  <c r="AQ11" i="31" s="1"/>
  <c r="AR11" i="31" s="1"/>
  <c r="AE11" i="31"/>
  <c r="AF11" i="31" s="1"/>
  <c r="AA11" i="31"/>
  <c r="W11" i="31"/>
  <c r="R11" i="31"/>
  <c r="S11" i="31" s="1"/>
  <c r="T11" i="31" s="1"/>
  <c r="X11" i="31"/>
  <c r="Y11" i="31" s="1"/>
  <c r="Z11" i="31" s="1"/>
  <c r="AC11" i="31"/>
  <c r="AH11" i="31"/>
  <c r="AI11" i="31" s="1"/>
  <c r="AN11" i="31"/>
  <c r="AO11" i="31" s="1"/>
  <c r="AS11" i="31"/>
  <c r="AX11" i="31"/>
  <c r="AY13" i="31"/>
  <c r="AQ13" i="31"/>
  <c r="AR13" i="31" s="1"/>
  <c r="AM13" i="31"/>
  <c r="AE13" i="31"/>
  <c r="AF13" i="31" s="1"/>
  <c r="AA13" i="31"/>
  <c r="R13" i="31"/>
  <c r="S13" i="31" s="1"/>
  <c r="T13" i="31" s="1"/>
  <c r="X13" i="31"/>
  <c r="Y13" i="31" s="1"/>
  <c r="Z13" i="31" s="1"/>
  <c r="AC13" i="31"/>
  <c r="AH13" i="31"/>
  <c r="AI13" i="31" s="1"/>
  <c r="AN13" i="31"/>
  <c r="AO13" i="31" s="1"/>
  <c r="AS13" i="31"/>
  <c r="AT13" i="31" s="1"/>
  <c r="AU13" i="31" s="1"/>
  <c r="AX13" i="31"/>
  <c r="AY15" i="31"/>
  <c r="AU15" i="31"/>
  <c r="AQ15" i="31"/>
  <c r="AR15" i="31" s="1"/>
  <c r="AM15" i="31"/>
  <c r="AI15" i="31"/>
  <c r="AE15" i="31"/>
  <c r="AF15" i="31" s="1"/>
  <c r="AA15" i="31"/>
  <c r="R15" i="31"/>
  <c r="S15" i="31" s="1"/>
  <c r="T15" i="31" s="1"/>
  <c r="X15" i="31"/>
  <c r="AC15" i="31"/>
  <c r="AN15" i="31"/>
  <c r="AO15" i="31" s="1"/>
  <c r="AS15" i="31"/>
  <c r="AX15" i="31"/>
  <c r="AY17" i="31"/>
  <c r="AQ17" i="31"/>
  <c r="AR17" i="31" s="1"/>
  <c r="AM17" i="31"/>
  <c r="AE17" i="31"/>
  <c r="AF17" i="31" s="1"/>
  <c r="AA17" i="31"/>
  <c r="R17" i="31"/>
  <c r="S17" i="31" s="1"/>
  <c r="T17" i="31" s="1"/>
  <c r="X17" i="31"/>
  <c r="Y17" i="31" s="1"/>
  <c r="Z17" i="31" s="1"/>
  <c r="AC17" i="31"/>
  <c r="AH17" i="31"/>
  <c r="AI17" i="31" s="1"/>
  <c r="AN17" i="31"/>
  <c r="AO17" i="31" s="1"/>
  <c r="AS17" i="31"/>
  <c r="AT17" i="31" s="1"/>
  <c r="AU17" i="31" s="1"/>
  <c r="AX17" i="31"/>
  <c r="AY19" i="31"/>
  <c r="AU19" i="31"/>
  <c r="AQ19" i="31"/>
  <c r="AR19" i="31" s="1"/>
  <c r="AM19" i="31"/>
  <c r="AN19" i="31" s="1"/>
  <c r="AO19" i="31" s="1"/>
  <c r="AE19" i="31"/>
  <c r="AF19" i="31" s="1"/>
  <c r="AA19" i="31"/>
  <c r="W19" i="31"/>
  <c r="R19" i="31"/>
  <c r="S19" i="31" s="1"/>
  <c r="T19" i="31" s="1"/>
  <c r="X19" i="31"/>
  <c r="Y19" i="31" s="1"/>
  <c r="Z19" i="31" s="1"/>
  <c r="AC19" i="31"/>
  <c r="AH19" i="31"/>
  <c r="AI19" i="31" s="1"/>
  <c r="AS19" i="31"/>
  <c r="AX19" i="31"/>
  <c r="AY21" i="31"/>
  <c r="AQ21" i="31"/>
  <c r="AR21" i="31" s="1"/>
  <c r="AM21" i="31"/>
  <c r="AI21" i="31"/>
  <c r="AE21" i="31"/>
  <c r="AF21" i="31" s="1"/>
  <c r="AA21" i="31"/>
  <c r="R21" i="31"/>
  <c r="S21" i="31" s="1"/>
  <c r="T21" i="31" s="1"/>
  <c r="X21" i="31"/>
  <c r="Y21" i="31" s="1"/>
  <c r="Z21" i="31" s="1"/>
  <c r="AC21" i="31"/>
  <c r="AH21" i="31"/>
  <c r="AN21" i="31"/>
  <c r="AO21" i="31" s="1"/>
  <c r="AS21" i="31"/>
  <c r="AT21" i="31" s="1"/>
  <c r="AU21" i="31" s="1"/>
  <c r="AX21" i="31"/>
  <c r="AT23" i="31"/>
  <c r="AP23" i="31"/>
  <c r="AL23" i="31"/>
  <c r="AH23" i="31"/>
  <c r="AI23" i="31" s="1"/>
  <c r="AD23" i="31"/>
  <c r="Z23" i="31"/>
  <c r="AZ23" i="31"/>
  <c r="AV23" i="31"/>
  <c r="AN23" i="31"/>
  <c r="AO23" i="31" s="1"/>
  <c r="AJ23" i="31"/>
  <c r="X23" i="31"/>
  <c r="T23" i="31"/>
  <c r="AY23" i="31"/>
  <c r="AU23" i="31"/>
  <c r="AQ23" i="31"/>
  <c r="AR23" i="31" s="1"/>
  <c r="AM23" i="31"/>
  <c r="AE23" i="31"/>
  <c r="AF23" i="31" s="1"/>
  <c r="AA23" i="31"/>
  <c r="W23" i="31"/>
  <c r="U23" i="31"/>
  <c r="V23" i="31" s="1"/>
  <c r="AG23" i="31"/>
  <c r="AW23" i="31"/>
  <c r="AX23" i="31" s="1"/>
  <c r="X7" i="31"/>
  <c r="AB7" i="31"/>
  <c r="AJ7" i="31"/>
  <c r="AV7" i="31"/>
  <c r="X9" i="31"/>
  <c r="AB9" i="31"/>
  <c r="AJ9" i="31"/>
  <c r="AN9" i="31"/>
  <c r="AV9" i="31"/>
  <c r="AZ9" i="31"/>
  <c r="Y20" i="31"/>
  <c r="BA23" i="31"/>
  <c r="Q7" i="31"/>
  <c r="AX7" i="31" s="1"/>
  <c r="U7" i="31"/>
  <c r="AG7" i="31"/>
  <c r="AK7" i="31"/>
  <c r="AS7" i="31"/>
  <c r="AW7" i="31"/>
  <c r="AZ7" i="31" s="1"/>
  <c r="Q9" i="31"/>
  <c r="U9" i="31"/>
  <c r="V9" i="31" s="1"/>
  <c r="AG9" i="31"/>
  <c r="AS9" i="31"/>
  <c r="AW9" i="31"/>
  <c r="Q12" i="31"/>
  <c r="U12" i="31"/>
  <c r="V12" i="31" s="1"/>
  <c r="AC12" i="31"/>
  <c r="AG12" i="31"/>
  <c r="AK12" i="31"/>
  <c r="AO12" i="31"/>
  <c r="AS12" i="31"/>
  <c r="AW12" i="31"/>
  <c r="Q14" i="31"/>
  <c r="U14" i="31"/>
  <c r="V14" i="31" s="1"/>
  <c r="AC14" i="31"/>
  <c r="AG14" i="31"/>
  <c r="AK14" i="31"/>
  <c r="AO14" i="31"/>
  <c r="AS14" i="31"/>
  <c r="AW14" i="31" s="1"/>
  <c r="Q16" i="31"/>
  <c r="AO16" i="31" s="1"/>
  <c r="U16" i="31"/>
  <c r="Y16" i="31" s="1"/>
  <c r="AG16" i="31"/>
  <c r="AK16" i="31"/>
  <c r="AS16" i="31"/>
  <c r="AW16" i="31"/>
  <c r="Q18" i="31"/>
  <c r="AO18" i="31" s="1"/>
  <c r="U18" i="31"/>
  <c r="V18" i="31" s="1"/>
  <c r="Y18" i="31"/>
  <c r="AG18" i="31"/>
  <c r="AK18" i="31" s="1"/>
  <c r="AS18" i="31"/>
  <c r="AW18" i="31"/>
  <c r="Q20" i="31"/>
  <c r="BA20" i="31" s="1"/>
  <c r="U20" i="31"/>
  <c r="AG20" i="31"/>
  <c r="AK20" i="31"/>
  <c r="AS20" i="31"/>
  <c r="AW20" i="31"/>
  <c r="Q22" i="31"/>
  <c r="BA22" i="31" s="1"/>
  <c r="U22" i="31"/>
  <c r="V22" i="31" s="1"/>
  <c r="AG22" i="31"/>
  <c r="AK22" i="31"/>
  <c r="AS22" i="31"/>
  <c r="AT22" i="31" s="1"/>
  <c r="AW22" i="31"/>
  <c r="AT24" i="31"/>
  <c r="AP24" i="31"/>
  <c r="Q24" i="31"/>
  <c r="BA24" i="31" s="1"/>
  <c r="U24" i="31"/>
  <c r="V24" i="31" s="1"/>
  <c r="Y24" i="31"/>
  <c r="AG24" i="31"/>
  <c r="AK24" i="31"/>
  <c r="AQ24" i="31"/>
  <c r="AV24" i="31"/>
  <c r="U25" i="31"/>
  <c r="AK25" i="31"/>
  <c r="AP25" i="31"/>
  <c r="U26" i="31"/>
  <c r="AA26" i="31"/>
  <c r="AK26" i="31"/>
  <c r="AQ26" i="31"/>
  <c r="AV26" i="31"/>
  <c r="U27" i="31"/>
  <c r="AE27" i="31"/>
  <c r="AF27" i="31" s="1"/>
  <c r="AP27" i="31"/>
  <c r="U28" i="31"/>
  <c r="AA28" i="31"/>
  <c r="AK28" i="31"/>
  <c r="AL28" i="31" s="1"/>
  <c r="AQ28" i="31"/>
  <c r="AV28" i="31"/>
  <c r="U30" i="31"/>
  <c r="AE30" i="31"/>
  <c r="AK30" i="31"/>
  <c r="AP30" i="31"/>
  <c r="U31" i="31"/>
  <c r="AA31" i="31"/>
  <c r="AK31" i="31"/>
  <c r="AV31" i="31"/>
  <c r="Q33" i="31"/>
  <c r="AC33" i="31" s="1"/>
  <c r="AB33" i="31"/>
  <c r="AG33" i="31"/>
  <c r="V34" i="31"/>
  <c r="Q35" i="31"/>
  <c r="AO35" i="31" s="1"/>
  <c r="AB35" i="31"/>
  <c r="AC35" i="31" s="1"/>
  <c r="AH35" i="31"/>
  <c r="AY37" i="31"/>
  <c r="AU37" i="31"/>
  <c r="AQ37" i="31"/>
  <c r="AR37" i="31" s="1"/>
  <c r="AM37" i="31"/>
  <c r="AE37" i="31"/>
  <c r="AF37" i="31" s="1"/>
  <c r="AA37" i="31"/>
  <c r="BA37" i="31"/>
  <c r="AV37" i="31"/>
  <c r="AP37" i="31"/>
  <c r="AT37" i="31" s="1"/>
  <c r="AK37" i="31"/>
  <c r="AL37" i="31" s="1"/>
  <c r="U37" i="31"/>
  <c r="T37" i="31"/>
  <c r="AB37" i="31"/>
  <c r="AH37" i="31"/>
  <c r="AI37" i="31" s="1"/>
  <c r="AO37" i="31"/>
  <c r="AW37" i="31"/>
  <c r="AX37" i="31" s="1"/>
  <c r="S38" i="31"/>
  <c r="AS39" i="31"/>
  <c r="Q25" i="31"/>
  <c r="Z25" i="31" s="1"/>
  <c r="AA25" i="31"/>
  <c r="AG25" i="31"/>
  <c r="AQ25" i="31"/>
  <c r="Q26" i="31"/>
  <c r="AC26" i="31" s="1"/>
  <c r="AB26" i="31"/>
  <c r="AG26" i="31"/>
  <c r="AM26" i="31"/>
  <c r="AR26" i="31"/>
  <c r="Q27" i="31"/>
  <c r="V27" i="31"/>
  <c r="AA27" i="31"/>
  <c r="AG27" i="31"/>
  <c r="AQ27" i="31"/>
  <c r="AR27" i="31" s="1"/>
  <c r="Q28" i="31"/>
  <c r="AB28" i="31"/>
  <c r="AG28" i="31"/>
  <c r="AM28" i="31"/>
  <c r="AR28" i="31"/>
  <c r="Q30" i="31"/>
  <c r="AR30" i="31" s="1"/>
  <c r="AA30" i="31"/>
  <c r="AG30" i="31"/>
  <c r="AQ30" i="31"/>
  <c r="Q31" i="31"/>
  <c r="AL31" i="31" s="1"/>
  <c r="AB31" i="31"/>
  <c r="AG31" i="31"/>
  <c r="AM31" i="31"/>
  <c r="AY33" i="31"/>
  <c r="AQ33" i="31"/>
  <c r="AR33" i="31" s="1"/>
  <c r="AM33" i="31"/>
  <c r="AE33" i="31"/>
  <c r="AA33" i="31"/>
  <c r="R33" i="31"/>
  <c r="X33" i="31"/>
  <c r="AH33" i="31"/>
  <c r="AN33" i="31"/>
  <c r="AS33" i="31"/>
  <c r="AY35" i="31"/>
  <c r="AU35" i="31"/>
  <c r="AM35" i="31"/>
  <c r="AE35" i="31"/>
  <c r="AV35" i="31"/>
  <c r="AP35" i="31"/>
  <c r="AQ35" i="31" s="1"/>
  <c r="AK35" i="31"/>
  <c r="AF35" i="31"/>
  <c r="AA35" i="31"/>
  <c r="R35" i="31"/>
  <c r="S35" i="31" s="1"/>
  <c r="X35" i="31"/>
  <c r="AJ35" i="31"/>
  <c r="AX35" i="31"/>
  <c r="AC37" i="31"/>
  <c r="R39" i="31"/>
  <c r="AZ25" i="31"/>
  <c r="AV25" i="31"/>
  <c r="AN25" i="31"/>
  <c r="AJ25" i="31"/>
  <c r="AB25" i="31"/>
  <c r="X25" i="31"/>
  <c r="R25" i="31"/>
  <c r="S25" i="31" s="1"/>
  <c r="AH25" i="31"/>
  <c r="AM25" i="31"/>
  <c r="AS25" i="31"/>
  <c r="AT26" i="31"/>
  <c r="AP26" i="31"/>
  <c r="AL26" i="31"/>
  <c r="AH26" i="31"/>
  <c r="AD26" i="31"/>
  <c r="R26" i="31"/>
  <c r="S26" i="31" s="1"/>
  <c r="X26" i="31"/>
  <c r="AN26" i="31"/>
  <c r="AS26" i="31"/>
  <c r="AY26" i="31"/>
  <c r="AZ27" i="31"/>
  <c r="BA27" i="31" s="1"/>
  <c r="AV27" i="31"/>
  <c r="AN27" i="31"/>
  <c r="AO27" i="31" s="1"/>
  <c r="AJ27" i="31"/>
  <c r="AB27" i="31"/>
  <c r="AC27" i="31" s="1"/>
  <c r="X27" i="31"/>
  <c r="Y27" i="31" s="1"/>
  <c r="Z27" i="31" s="1"/>
  <c r="R27" i="31"/>
  <c r="S27" i="31" s="1"/>
  <c r="T27" i="31" s="1"/>
  <c r="AH27" i="31"/>
  <c r="AI27" i="31" s="1"/>
  <c r="AM27" i="31"/>
  <c r="AS27" i="31"/>
  <c r="AX27" i="31"/>
  <c r="AX28" i="31"/>
  <c r="AT28" i="31"/>
  <c r="AU28" i="31" s="1"/>
  <c r="AP28" i="31"/>
  <c r="AH28" i="31"/>
  <c r="AD28" i="31"/>
  <c r="AE28" i="31" s="1"/>
  <c r="V28" i="31"/>
  <c r="W28" i="31" s="1"/>
  <c r="R28" i="31"/>
  <c r="S28" i="31" s="1"/>
  <c r="T28" i="31" s="1"/>
  <c r="X28" i="31"/>
  <c r="AI28" i="31"/>
  <c r="AN28" i="31"/>
  <c r="AS28" i="31"/>
  <c r="AY28" i="31"/>
  <c r="AZ28" i="31" s="1"/>
  <c r="AZ30" i="31"/>
  <c r="AV30" i="31"/>
  <c r="AN30" i="31"/>
  <c r="AJ30" i="31"/>
  <c r="AB30" i="31"/>
  <c r="X30" i="31"/>
  <c r="R30" i="31"/>
  <c r="AM30" i="31"/>
  <c r="AS30" i="31"/>
  <c r="AX30" i="31"/>
  <c r="AT31" i="31"/>
  <c r="AU31" i="31" s="1"/>
  <c r="AP31" i="31"/>
  <c r="AQ31" i="31" s="1"/>
  <c r="AH31" i="31"/>
  <c r="AD31" i="31"/>
  <c r="V31" i="31"/>
  <c r="R31" i="31"/>
  <c r="S31" i="31" s="1"/>
  <c r="X31" i="31"/>
  <c r="Y31" i="31" s="1"/>
  <c r="Z31" i="31" s="1"/>
  <c r="AC31" i="31"/>
  <c r="AN31" i="31"/>
  <c r="AS31" i="31"/>
  <c r="AY31" i="31"/>
  <c r="AD33" i="31"/>
  <c r="AJ33" i="31"/>
  <c r="AK33" i="31" s="1"/>
  <c r="AO33" i="31"/>
  <c r="AT33" i="31"/>
  <c r="AZ33" i="31"/>
  <c r="T35" i="31"/>
  <c r="AD35" i="31"/>
  <c r="AS35" i="31"/>
  <c r="AZ35" i="31"/>
  <c r="Y25" i="31"/>
  <c r="AD25" i="31"/>
  <c r="AE25" i="31" s="1"/>
  <c r="AT25" i="31"/>
  <c r="AY25" i="31"/>
  <c r="Y26" i="31"/>
  <c r="AJ26" i="31"/>
  <c r="AU26" i="31"/>
  <c r="AZ26" i="31"/>
  <c r="AD27" i="31"/>
  <c r="AT27" i="31"/>
  <c r="AU27" i="31" s="1"/>
  <c r="AY27" i="31"/>
  <c r="Y28" i="31"/>
  <c r="AJ28" i="31"/>
  <c r="AO28" i="31"/>
  <c r="AD30" i="31"/>
  <c r="AT30" i="31"/>
  <c r="AU30" i="31" s="1"/>
  <c r="AY30" i="31"/>
  <c r="AJ31" i="31"/>
  <c r="AZ31" i="31"/>
  <c r="AY39" i="31"/>
  <c r="AQ39" i="31"/>
  <c r="AM39" i="31"/>
  <c r="AE39" i="31"/>
  <c r="AA39" i="31"/>
  <c r="AZ39" i="31"/>
  <c r="AT39" i="31"/>
  <c r="AJ39" i="31"/>
  <c r="AD39" i="31"/>
  <c r="AW39" i="31"/>
  <c r="AG39" i="31"/>
  <c r="AB39" i="31"/>
  <c r="Q39" i="31"/>
  <c r="AO39" i="31" s="1"/>
  <c r="AV39" i="31"/>
  <c r="AP39" i="31"/>
  <c r="AK39" i="31"/>
  <c r="AF39" i="31"/>
  <c r="U39" i="31"/>
  <c r="X39" i="31"/>
  <c r="AN39" i="31"/>
  <c r="Q32" i="31"/>
  <c r="AO32" i="31" s="1"/>
  <c r="U32" i="31"/>
  <c r="V32" i="31" s="1"/>
  <c r="AG32" i="31"/>
  <c r="AK32" i="31"/>
  <c r="AS32" i="31"/>
  <c r="AT32" i="31" s="1"/>
  <c r="AW32" i="31"/>
  <c r="Q34" i="31"/>
  <c r="U34" i="31"/>
  <c r="Y34" i="31" s="1"/>
  <c r="AG34" i="31"/>
  <c r="AK34" i="31"/>
  <c r="AS34" i="31"/>
  <c r="AW34" i="31"/>
  <c r="U41" i="31"/>
  <c r="AK41" i="31"/>
  <c r="AP41" i="31"/>
  <c r="AV41" i="31"/>
  <c r="U43" i="31"/>
  <c r="AK43" i="31"/>
  <c r="AP43" i="31"/>
  <c r="AV43" i="31"/>
  <c r="U45" i="31"/>
  <c r="AK45" i="31"/>
  <c r="AP45" i="31"/>
  <c r="AV45" i="31"/>
  <c r="BA45" i="31"/>
  <c r="U47" i="31"/>
  <c r="AP47" i="31"/>
  <c r="AT48" i="31"/>
  <c r="AP48" i="31"/>
  <c r="AH48" i="31"/>
  <c r="AD48" i="31"/>
  <c r="R48" i="31"/>
  <c r="S48" i="31" s="1"/>
  <c r="AM48" i="31"/>
  <c r="AG48" i="31"/>
  <c r="Q48" i="31"/>
  <c r="AA48" i="31"/>
  <c r="AB48" i="31" s="1"/>
  <c r="AO48" i="31"/>
  <c r="AV48" i="31"/>
  <c r="AW48" i="31" s="1"/>
  <c r="R49" i="31"/>
  <c r="S49" i="31" s="1"/>
  <c r="Y49" i="31"/>
  <c r="AE49" i="31"/>
  <c r="AM49" i="31"/>
  <c r="AT49" i="31"/>
  <c r="X50" i="31"/>
  <c r="AE50" i="31"/>
  <c r="AK50" i="31"/>
  <c r="AS50" i="31"/>
  <c r="AZ50" i="31"/>
  <c r="U51" i="31"/>
  <c r="AP51" i="31"/>
  <c r="AT52" i="31"/>
  <c r="AP52" i="31"/>
  <c r="AL52" i="31"/>
  <c r="AD52" i="31"/>
  <c r="V52" i="31"/>
  <c r="R52" i="31"/>
  <c r="S52" i="31" s="1"/>
  <c r="AW52" i="31"/>
  <c r="AM52" i="31"/>
  <c r="AG52" i="31"/>
  <c r="AH52" i="31" s="1"/>
  <c r="AB52" i="31"/>
  <c r="Q52" i="31"/>
  <c r="Z52" i="31" s="1"/>
  <c r="T52" i="31"/>
  <c r="AA52" i="31"/>
  <c r="AO52" i="31"/>
  <c r="AV52" i="31"/>
  <c r="R53" i="31"/>
  <c r="S53" i="31" s="1"/>
  <c r="AE53" i="31"/>
  <c r="AM53" i="31"/>
  <c r="AT53" i="31"/>
  <c r="AU53" i="31" s="1"/>
  <c r="X54" i="31"/>
  <c r="AE54" i="31"/>
  <c r="AS54" i="31"/>
  <c r="Q41" i="31"/>
  <c r="AC41" i="31" s="1"/>
  <c r="V41" i="31"/>
  <c r="AB41" i="31"/>
  <c r="AG41" i="31"/>
  <c r="AL41" i="31"/>
  <c r="Q43" i="31"/>
  <c r="AB43" i="31"/>
  <c r="AG43" i="31"/>
  <c r="AR43" i="31"/>
  <c r="Q45" i="31"/>
  <c r="AB45" i="31"/>
  <c r="AC45" i="31" s="1"/>
  <c r="AG45" i="31"/>
  <c r="AL45" i="31"/>
  <c r="AD47" i="31"/>
  <c r="AK47" i="31"/>
  <c r="AS47" i="31"/>
  <c r="AY47" i="31"/>
  <c r="AZ49" i="31"/>
  <c r="AV49" i="31"/>
  <c r="AW49" i="31" s="1"/>
  <c r="AN49" i="31"/>
  <c r="AJ49" i="31"/>
  <c r="X49" i="31"/>
  <c r="AQ49" i="31"/>
  <c r="AG49" i="31"/>
  <c r="AA49" i="31"/>
  <c r="Q49" i="31"/>
  <c r="BA49" i="31" s="1"/>
  <c r="AH49" i="31"/>
  <c r="AU49" i="31"/>
  <c r="Y50" i="31"/>
  <c r="AN50" i="31"/>
  <c r="AO50" i="31" s="1"/>
  <c r="AD51" i="31"/>
  <c r="AK51" i="31"/>
  <c r="AS51" i="31"/>
  <c r="AY51" i="31"/>
  <c r="AZ53" i="31"/>
  <c r="AV53" i="31"/>
  <c r="AN53" i="31"/>
  <c r="AJ53" i="31"/>
  <c r="AB53" i="31"/>
  <c r="X53" i="31"/>
  <c r="Y53" i="31" s="1"/>
  <c r="T53" i="31"/>
  <c r="AW53" i="31"/>
  <c r="AQ53" i="31"/>
  <c r="AG53" i="31"/>
  <c r="AA53" i="31"/>
  <c r="V53" i="31"/>
  <c r="Q53" i="31"/>
  <c r="AF53" i="31" s="1"/>
  <c r="Z53" i="31"/>
  <c r="AH53" i="31"/>
  <c r="AN54" i="31"/>
  <c r="AO54" i="31" s="1"/>
  <c r="AY41" i="31"/>
  <c r="AQ41" i="31"/>
  <c r="AM41" i="31"/>
  <c r="AE41" i="31"/>
  <c r="AA41" i="31"/>
  <c r="R41" i="31"/>
  <c r="S41" i="31" s="1"/>
  <c r="X41" i="31"/>
  <c r="AH41" i="31"/>
  <c r="AS41" i="31"/>
  <c r="AY43" i="31"/>
  <c r="AQ43" i="31"/>
  <c r="AM43" i="31"/>
  <c r="AE43" i="31"/>
  <c r="AA43" i="31"/>
  <c r="R43" i="31"/>
  <c r="S43" i="31" s="1"/>
  <c r="X43" i="31"/>
  <c r="Y43" i="31" s="1"/>
  <c r="AH43" i="31"/>
  <c r="AI43" i="31" s="1"/>
  <c r="AN43" i="31"/>
  <c r="AS43" i="31"/>
  <c r="AT43" i="31" s="1"/>
  <c r="AU43" i="31" s="1"/>
  <c r="AY45" i="31"/>
  <c r="AQ45" i="31"/>
  <c r="AR45" i="31" s="1"/>
  <c r="AM45" i="31"/>
  <c r="AE45" i="31"/>
  <c r="AF45" i="31" s="1"/>
  <c r="AA45" i="31"/>
  <c r="R45" i="31"/>
  <c r="S45" i="31" s="1"/>
  <c r="T45" i="31" s="1"/>
  <c r="X45" i="31"/>
  <c r="AH45" i="31"/>
  <c r="AI45" i="31" s="1"/>
  <c r="AN45" i="31"/>
  <c r="AO45" i="31" s="1"/>
  <c r="AS45" i="31"/>
  <c r="AT45" i="31" s="1"/>
  <c r="AU45" i="31" s="1"/>
  <c r="AX45" i="31"/>
  <c r="R47" i="31"/>
  <c r="S47" i="31" s="1"/>
  <c r="AE47" i="31"/>
  <c r="AM47" i="31"/>
  <c r="AT47" i="31"/>
  <c r="V49" i="31"/>
  <c r="AX49" i="31"/>
  <c r="AT50" i="31"/>
  <c r="AU50" i="31" s="1"/>
  <c r="AP50" i="31"/>
  <c r="AH50" i="31"/>
  <c r="AD50" i="31"/>
  <c r="R50" i="31"/>
  <c r="S50" i="31" s="1"/>
  <c r="AW50" i="31"/>
  <c r="AX50" i="31" s="1"/>
  <c r="AM50" i="31"/>
  <c r="AG50" i="31"/>
  <c r="Q50" i="31"/>
  <c r="AF50" i="31" s="1"/>
  <c r="T50" i="31"/>
  <c r="AA50" i="31"/>
  <c r="AB50" i="31" s="1"/>
  <c r="AV50" i="31"/>
  <c r="R51" i="31"/>
  <c r="S51" i="31" s="1"/>
  <c r="Y51" i="31"/>
  <c r="AM51" i="31"/>
  <c r="AT51" i="31"/>
  <c r="AX53" i="31"/>
  <c r="AX54" i="31"/>
  <c r="AT54" i="31"/>
  <c r="AP54" i="31"/>
  <c r="AH54" i="31"/>
  <c r="AD54" i="31"/>
  <c r="V54" i="31"/>
  <c r="R54" i="31"/>
  <c r="S54" i="31" s="1"/>
  <c r="AZ54" i="31"/>
  <c r="BA54" i="31" s="1"/>
  <c r="AY54" i="31"/>
  <c r="AW54" i="31"/>
  <c r="AM54" i="31"/>
  <c r="AG54" i="31"/>
  <c r="AB54" i="31"/>
  <c r="AC54" i="31" s="1"/>
  <c r="Q54" i="31"/>
  <c r="AU54" i="31" s="1"/>
  <c r="AA54" i="31"/>
  <c r="AI54" i="31"/>
  <c r="AV54" i="31"/>
  <c r="AD41" i="31"/>
  <c r="AJ41" i="31"/>
  <c r="AT41" i="31"/>
  <c r="AZ41" i="31"/>
  <c r="Y42" i="31"/>
  <c r="T43" i="31"/>
  <c r="AD43" i="31"/>
  <c r="AJ43" i="31"/>
  <c r="AO43" i="31"/>
  <c r="AZ43" i="31"/>
  <c r="AD45" i="31"/>
  <c r="AJ45" i="31"/>
  <c r="AZ45" i="31"/>
  <c r="AZ47" i="31"/>
  <c r="AV47" i="31"/>
  <c r="AN47" i="31"/>
  <c r="AJ47" i="31"/>
  <c r="AB47" i="31"/>
  <c r="X47" i="31"/>
  <c r="Y47" i="31" s="1"/>
  <c r="Z47" i="31" s="1"/>
  <c r="AW47" i="31"/>
  <c r="AL47" i="31"/>
  <c r="AG47" i="31"/>
  <c r="AA47" i="31"/>
  <c r="Q47" i="31"/>
  <c r="AH47" i="31"/>
  <c r="AU47" i="31"/>
  <c r="AY50" i="31"/>
  <c r="AZ51" i="31"/>
  <c r="AV51" i="31"/>
  <c r="AN51" i="31"/>
  <c r="AJ51" i="31"/>
  <c r="AB51" i="31"/>
  <c r="X51" i="31"/>
  <c r="AW51" i="31"/>
  <c r="AQ51" i="31"/>
  <c r="AG51" i="31"/>
  <c r="AA51" i="31"/>
  <c r="Q51" i="31"/>
  <c r="AH51" i="31"/>
  <c r="AU51" i="31"/>
  <c r="AS53" i="31"/>
  <c r="AY53" i="31"/>
  <c r="U54" i="31"/>
  <c r="AJ54" i="31"/>
  <c r="AQ54" i="31"/>
  <c r="Q36" i="31"/>
  <c r="AO36" i="31" s="1"/>
  <c r="U36" i="31"/>
  <c r="V36" i="31" s="1"/>
  <c r="AG36" i="31"/>
  <c r="AK36" i="31"/>
  <c r="AS36" i="31"/>
  <c r="AW36" i="31"/>
  <c r="Q38" i="31"/>
  <c r="AO38" i="31" s="1"/>
  <c r="U38" i="31"/>
  <c r="V38" i="31" s="1"/>
  <c r="AG38" i="31"/>
  <c r="AK38" i="31"/>
  <c r="AS38" i="31"/>
  <c r="AW38" i="31"/>
  <c r="Q40" i="31"/>
  <c r="AO40" i="31" s="1"/>
  <c r="U40" i="31"/>
  <c r="Y40" i="31" s="1"/>
  <c r="AG40" i="31"/>
  <c r="AK40" i="31"/>
  <c r="AS40" i="31"/>
  <c r="AW40" i="31"/>
  <c r="Q42" i="31"/>
  <c r="AO42" i="31" s="1"/>
  <c r="U42" i="31"/>
  <c r="AG42" i="31"/>
  <c r="AK42" i="31"/>
  <c r="AS42" i="31"/>
  <c r="AW42" i="31"/>
  <c r="Q44" i="31"/>
  <c r="AO44" i="31" s="1"/>
  <c r="U44" i="31"/>
  <c r="V44" i="31" s="1"/>
  <c r="AG44" i="31"/>
  <c r="AK44" i="31"/>
  <c r="AS44" i="31"/>
  <c r="AT44" i="31" s="1"/>
  <c r="AW44" i="31"/>
  <c r="AT46" i="31"/>
  <c r="AP46" i="31"/>
  <c r="AL46" i="31"/>
  <c r="AH46" i="31"/>
  <c r="Q46" i="31"/>
  <c r="AX46" i="31" s="1"/>
  <c r="U46" i="31"/>
  <c r="V46" i="31" s="1"/>
  <c r="Y46" i="31"/>
  <c r="AG46" i="31"/>
  <c r="AM46" i="31"/>
  <c r="AR46" i="31"/>
  <c r="T7" i="30"/>
  <c r="AO7" i="30"/>
  <c r="AU8" i="30"/>
  <c r="Q14" i="30"/>
  <c r="Z18" i="30"/>
  <c r="AC19" i="30"/>
  <c r="AO19" i="30"/>
  <c r="O20" i="30"/>
  <c r="AP20" i="30" s="1"/>
  <c r="AU22" i="30"/>
  <c r="Q25" i="30"/>
  <c r="AL26" i="30"/>
  <c r="AM26" i="30" s="1"/>
  <c r="Z31" i="30"/>
  <c r="AL39" i="30"/>
  <c r="T42" i="30"/>
  <c r="U42" i="30" s="1"/>
  <c r="AC43" i="30"/>
  <c r="O48" i="30"/>
  <c r="W50" i="30"/>
  <c r="AO52" i="30"/>
  <c r="AO54" i="30"/>
  <c r="AP54" i="30" s="1"/>
  <c r="P53" i="30"/>
  <c r="S54" i="30"/>
  <c r="S43" i="30"/>
  <c r="V50" i="30"/>
  <c r="Y48" i="30"/>
  <c r="Y39" i="30"/>
  <c r="AB48" i="30"/>
  <c r="AB39" i="30"/>
  <c r="AE44" i="30"/>
  <c r="AH42" i="30"/>
  <c r="AC7" i="30"/>
  <c r="AU7" i="30"/>
  <c r="AX7" i="30" s="1"/>
  <c r="Z8" i="30"/>
  <c r="Z14" i="30"/>
  <c r="T20" i="30"/>
  <c r="AU24" i="30"/>
  <c r="AI28" i="30"/>
  <c r="AX43" i="30"/>
  <c r="AC48" i="30"/>
  <c r="AD48" i="30" s="1"/>
  <c r="AU50" i="30"/>
  <c r="P48" i="30"/>
  <c r="Q48" i="30" s="1"/>
  <c r="S51" i="30"/>
  <c r="V47" i="30"/>
  <c r="Y47" i="30"/>
  <c r="Y34" i="30"/>
  <c r="AB47" i="30"/>
  <c r="AK47" i="30"/>
  <c r="AQ51" i="30"/>
  <c r="O7" i="30"/>
  <c r="AY7" i="30" s="1"/>
  <c r="AL8" i="30"/>
  <c r="AI14" i="30"/>
  <c r="Q24" i="30"/>
  <c r="AC36" i="30"/>
  <c r="AF48" i="30"/>
  <c r="AG48" i="30" s="1"/>
  <c r="AC52" i="30"/>
  <c r="P42" i="30"/>
  <c r="Q42" i="30" s="1"/>
  <c r="R42" i="30" s="1"/>
  <c r="Y42" i="30"/>
  <c r="AA39" i="30"/>
  <c r="AQ47" i="30"/>
  <c r="AW52" i="30"/>
  <c r="AO14" i="30"/>
  <c r="AF20" i="30"/>
  <c r="AV31" i="30"/>
  <c r="S47" i="30"/>
  <c r="AE47" i="30"/>
  <c r="AH47" i="30"/>
  <c r="AQ43" i="30"/>
  <c r="AU37" i="30"/>
  <c r="AW37" i="30"/>
  <c r="AE37" i="30"/>
  <c r="AT37" i="30"/>
  <c r="AQ37" i="30"/>
  <c r="AR37" i="30" s="1"/>
  <c r="AN37" i="30"/>
  <c r="AK37" i="30"/>
  <c r="AH37" i="30"/>
  <c r="AB37" i="30"/>
  <c r="Y37" i="30"/>
  <c r="V37" i="30"/>
  <c r="AF37" i="30"/>
  <c r="S37" i="30"/>
  <c r="T37" i="30" s="1"/>
  <c r="AI8" i="30"/>
  <c r="O8" i="30"/>
  <c r="AF8" i="30"/>
  <c r="AC9" i="30"/>
  <c r="AC23" i="30"/>
  <c r="AW45" i="30"/>
  <c r="AT45" i="30"/>
  <c r="AQ45" i="30"/>
  <c r="AN45" i="30"/>
  <c r="AK45" i="30"/>
  <c r="AB45" i="30"/>
  <c r="Y45" i="30"/>
  <c r="V45" i="30"/>
  <c r="AH45" i="30"/>
  <c r="AE45" i="30"/>
  <c r="S45" i="30"/>
  <c r="P45" i="30"/>
  <c r="AF10" i="30"/>
  <c r="W10" i="30"/>
  <c r="AO13" i="30"/>
  <c r="Z13" i="30"/>
  <c r="O13" i="30"/>
  <c r="AP13" i="30" s="1"/>
  <c r="AU13" i="30"/>
  <c r="AL13" i="30"/>
  <c r="AI17" i="30"/>
  <c r="Z9" i="30"/>
  <c r="O9" i="30"/>
  <c r="AS9" i="30" s="1"/>
  <c r="AO9" i="30"/>
  <c r="AX9" i="30"/>
  <c r="Z12" i="30"/>
  <c r="AI12" i="30"/>
  <c r="O12" i="30"/>
  <c r="AU12" i="30"/>
  <c r="AC13" i="30"/>
  <c r="AW33" i="30"/>
  <c r="AE33" i="30"/>
  <c r="AQ33" i="30"/>
  <c r="AN33" i="30"/>
  <c r="AK33" i="30"/>
  <c r="AH33" i="30"/>
  <c r="AB33" i="30"/>
  <c r="Y33" i="30"/>
  <c r="V33" i="30"/>
  <c r="P33" i="30"/>
  <c r="AT33" i="30"/>
  <c r="AW35" i="30"/>
  <c r="AE35" i="30"/>
  <c r="AB35" i="30"/>
  <c r="Y35" i="30"/>
  <c r="V35" i="30"/>
  <c r="AT35" i="30"/>
  <c r="P35" i="30"/>
  <c r="AU35" i="30"/>
  <c r="Z35" i="30"/>
  <c r="AQ35" i="30"/>
  <c r="AI35" i="30"/>
  <c r="AK35" i="30"/>
  <c r="AH35" i="30"/>
  <c r="S35" i="30"/>
  <c r="W35" i="30" s="1"/>
  <c r="AC35" i="30"/>
  <c r="AN35" i="30"/>
  <c r="AX35" i="30"/>
  <c r="O35" i="30"/>
  <c r="AV35" i="30" s="1"/>
  <c r="P37" i="30"/>
  <c r="Q37" i="30" s="1"/>
  <c r="AL9" i="30"/>
  <c r="AI13" i="30"/>
  <c r="AQ32" i="30"/>
  <c r="AN32" i="30"/>
  <c r="AR32" i="30" s="1"/>
  <c r="AK32" i="30"/>
  <c r="AH32" i="30"/>
  <c r="AW32" i="30"/>
  <c r="AT32" i="30"/>
  <c r="S32" i="30"/>
  <c r="AL32" i="30"/>
  <c r="O32" i="30"/>
  <c r="AY32" i="30" s="1"/>
  <c r="V32" i="30"/>
  <c r="AI32" i="30"/>
  <c r="AE32" i="30"/>
  <c r="AX32" i="30"/>
  <c r="AC32" i="30"/>
  <c r="AB32" i="30"/>
  <c r="Y32" i="30"/>
  <c r="AU32" i="30"/>
  <c r="Z32" i="30"/>
  <c r="AL35" i="30"/>
  <c r="AW41" i="30"/>
  <c r="AE41" i="30"/>
  <c r="AQ41" i="30"/>
  <c r="AN41" i="30"/>
  <c r="AK41" i="30"/>
  <c r="AB41" i="30"/>
  <c r="Y41" i="30"/>
  <c r="V41" i="30"/>
  <c r="AI41" i="30"/>
  <c r="AC41" i="30"/>
  <c r="AT41" i="30"/>
  <c r="AH41" i="30"/>
  <c r="S41" i="30"/>
  <c r="AU41" i="30"/>
  <c r="T41" i="30"/>
  <c r="P41" i="30"/>
  <c r="Q41" i="30" s="1"/>
  <c r="AO41" i="30"/>
  <c r="O41" i="30"/>
  <c r="P32" i="30"/>
  <c r="AL14" i="30"/>
  <c r="Z15" i="30"/>
  <c r="AC18" i="30"/>
  <c r="AO18" i="30"/>
  <c r="Z19" i="30"/>
  <c r="AL19" i="30"/>
  <c r="Q20" i="30"/>
  <c r="AU20" i="30"/>
  <c r="W22" i="30"/>
  <c r="AI22" i="30"/>
  <c r="AO22" i="30"/>
  <c r="T24" i="30"/>
  <c r="AX26" i="30"/>
  <c r="AY26" i="30" s="1"/>
  <c r="AI26" i="30"/>
  <c r="AJ26" i="30" s="1"/>
  <c r="Z26" i="30"/>
  <c r="AA26" i="30" s="1"/>
  <c r="AU26" i="30"/>
  <c r="AV26" i="30" s="1"/>
  <c r="AN30" i="30"/>
  <c r="AW31" i="30"/>
  <c r="AE31" i="30"/>
  <c r="AT31" i="30"/>
  <c r="AB31" i="30"/>
  <c r="AA31" i="30"/>
  <c r="Y31" i="30"/>
  <c r="V31" i="30"/>
  <c r="AQ31" i="30"/>
  <c r="AN31" i="30"/>
  <c r="AK31" i="30"/>
  <c r="AO31" i="30" s="1"/>
  <c r="AP31" i="30" s="1"/>
  <c r="AH31" i="30"/>
  <c r="P31" i="30"/>
  <c r="AL31" i="30"/>
  <c r="AM31" i="30" s="1"/>
  <c r="AI31" i="30"/>
  <c r="AJ31" i="30" s="1"/>
  <c r="AF36" i="30"/>
  <c r="AQ40" i="30"/>
  <c r="AN40" i="30"/>
  <c r="AK40" i="30"/>
  <c r="AW40" i="30"/>
  <c r="AT40" i="30"/>
  <c r="AH40" i="30"/>
  <c r="S40" i="30"/>
  <c r="AX40" i="30"/>
  <c r="AM42" i="30"/>
  <c r="AI43" i="30"/>
  <c r="AQ48" i="30"/>
  <c r="AN48" i="30"/>
  <c r="AK48" i="30"/>
  <c r="AW48" i="30"/>
  <c r="AT48" i="30"/>
  <c r="AH48" i="30"/>
  <c r="S48" i="30"/>
  <c r="T48" i="30" s="1"/>
  <c r="U48" i="30" s="1"/>
  <c r="AO48" i="30"/>
  <c r="AP48" i="30" s="1"/>
  <c r="AI48" i="30"/>
  <c r="AC50" i="30"/>
  <c r="AQ52" i="30"/>
  <c r="AN52" i="30"/>
  <c r="AK52" i="30"/>
  <c r="AT52" i="30"/>
  <c r="AE52" i="30"/>
  <c r="S52" i="30"/>
  <c r="W52" i="30" s="1"/>
  <c r="X52" i="30" s="1"/>
  <c r="AU52" i="30"/>
  <c r="O52" i="30"/>
  <c r="AY52" i="30" s="1"/>
  <c r="AV54" i="30"/>
  <c r="P52" i="30"/>
  <c r="P46" i="30"/>
  <c r="Q46" i="30" s="1"/>
  <c r="P36" i="30"/>
  <c r="Q36" i="30" s="1"/>
  <c r="S31" i="30"/>
  <c r="W54" i="30"/>
  <c r="X54" i="30" s="1"/>
  <c r="V48" i="30"/>
  <c r="V36" i="30"/>
  <c r="Y52" i="30"/>
  <c r="Y46" i="30"/>
  <c r="AB52" i="30"/>
  <c r="AB46" i="30"/>
  <c r="AD52" i="30"/>
  <c r="AD39" i="30"/>
  <c r="AH52" i="30"/>
  <c r="AN51" i="30"/>
  <c r="W18" i="30"/>
  <c r="AX18" i="30"/>
  <c r="AC22" i="30"/>
  <c r="AX22" i="30"/>
  <c r="AF24" i="30"/>
  <c r="AO24" i="30"/>
  <c r="AU25" i="30"/>
  <c r="AF25" i="30"/>
  <c r="AQ34" i="30"/>
  <c r="AN34" i="30"/>
  <c r="AK34" i="30"/>
  <c r="AH34" i="30"/>
  <c r="AW34" i="30"/>
  <c r="AE34" i="30"/>
  <c r="AT34" i="30"/>
  <c r="AI34" i="30"/>
  <c r="AW43" i="30"/>
  <c r="AE43" i="30"/>
  <c r="AB43" i="30"/>
  <c r="Y43" i="30"/>
  <c r="V43" i="30"/>
  <c r="W43" i="30" s="1"/>
  <c r="AT43" i="30"/>
  <c r="AH43" i="30"/>
  <c r="P43" i="30"/>
  <c r="AL43" i="30"/>
  <c r="O43" i="30"/>
  <c r="AY43" i="30" s="1"/>
  <c r="AO43" i="30"/>
  <c r="AQ44" i="30"/>
  <c r="AN44" i="30"/>
  <c r="AK44" i="30"/>
  <c r="AT44" i="30"/>
  <c r="AH44" i="30"/>
  <c r="S44" i="30"/>
  <c r="T44" i="30" s="1"/>
  <c r="AQ46" i="30"/>
  <c r="AU46" i="30" s="1"/>
  <c r="AN46" i="30"/>
  <c r="AK46" i="30"/>
  <c r="AW46" i="30"/>
  <c r="AX46" i="30" s="1"/>
  <c r="AO46" i="30"/>
  <c r="AC46" i="30"/>
  <c r="AQ50" i="30"/>
  <c r="AN50" i="30"/>
  <c r="AK50" i="30"/>
  <c r="AW50" i="30"/>
  <c r="AT50" i="30"/>
  <c r="AL50" i="30"/>
  <c r="AI50" i="30"/>
  <c r="AX53" i="30"/>
  <c r="AW53" i="30"/>
  <c r="AH53" i="30"/>
  <c r="AE53" i="30"/>
  <c r="AI53" i="30" s="1"/>
  <c r="AT53" i="30"/>
  <c r="AQ53" i="30"/>
  <c r="AN53" i="30"/>
  <c r="AK53" i="30"/>
  <c r="AB53" i="30"/>
  <c r="Y53" i="30"/>
  <c r="V53" i="30"/>
  <c r="P50" i="30"/>
  <c r="P34" i="30"/>
  <c r="R48" i="30"/>
  <c r="S46" i="30"/>
  <c r="T46" i="30" s="1"/>
  <c r="V34" i="30"/>
  <c r="Y50" i="30"/>
  <c r="Y44" i="30"/>
  <c r="Y38" i="30"/>
  <c r="AA30" i="30"/>
  <c r="AB50" i="30"/>
  <c r="AB44" i="30"/>
  <c r="AB38" i="30"/>
  <c r="AE50" i="30"/>
  <c r="AE46" i="30"/>
  <c r="AH50" i="30"/>
  <c r="AH46" i="30"/>
  <c r="AK43" i="30"/>
  <c r="AW44" i="30"/>
  <c r="Q15" i="30"/>
  <c r="AO15" i="30"/>
  <c r="O18" i="30"/>
  <c r="X18" i="30" s="1"/>
  <c r="AI18" i="30"/>
  <c r="AL18" i="30"/>
  <c r="O22" i="30"/>
  <c r="R22" i="30" s="1"/>
  <c r="AL22" i="30"/>
  <c r="O24" i="30"/>
  <c r="AI24" i="30"/>
  <c r="O25" i="30"/>
  <c r="R25" i="30" s="1"/>
  <c r="AL25" i="30"/>
  <c r="P30" i="30"/>
  <c r="Q30" i="30" s="1"/>
  <c r="R30" i="30" s="1"/>
  <c r="AU30" i="30"/>
  <c r="AV30" i="30" s="1"/>
  <c r="AL30" i="30"/>
  <c r="AM30" i="30" s="1"/>
  <c r="V30" i="30"/>
  <c r="AE30" i="30"/>
  <c r="AT30" i="30"/>
  <c r="AQ36" i="30"/>
  <c r="AN36" i="30"/>
  <c r="AK36" i="30"/>
  <c r="AH36" i="30"/>
  <c r="AT36" i="30"/>
  <c r="S36" i="30"/>
  <c r="W36" i="30" s="1"/>
  <c r="AX36" i="30"/>
  <c r="Z36" i="30"/>
  <c r="AQ38" i="30"/>
  <c r="AN38" i="30"/>
  <c r="AK38" i="30"/>
  <c r="AH38" i="30"/>
  <c r="AW38" i="30"/>
  <c r="AE38" i="30"/>
  <c r="Z43" i="30"/>
  <c r="AU43" i="30"/>
  <c r="O46" i="30"/>
  <c r="U46" i="30" s="1"/>
  <c r="AI46" i="30"/>
  <c r="AW49" i="30"/>
  <c r="AQ49" i="30"/>
  <c r="AN49" i="30"/>
  <c r="AK49" i="30"/>
  <c r="AB49" i="30"/>
  <c r="Y49" i="30"/>
  <c r="V49" i="30"/>
  <c r="AL49" i="30"/>
  <c r="O50" i="30"/>
  <c r="AO50" i="30"/>
  <c r="AX51" i="30"/>
  <c r="AW51" i="30"/>
  <c r="AE51" i="30"/>
  <c r="AB51" i="30"/>
  <c r="Y51" i="30"/>
  <c r="AC51" i="30" s="1"/>
  <c r="AT51" i="30"/>
  <c r="AH51" i="30"/>
  <c r="P51" i="30"/>
  <c r="P49" i="30"/>
  <c r="Q49" i="30" s="1"/>
  <c r="P44" i="30"/>
  <c r="Q44" i="30" s="1"/>
  <c r="P38" i="30"/>
  <c r="T38" i="30" s="1"/>
  <c r="S30" i="30"/>
  <c r="S50" i="30"/>
  <c r="S34" i="30"/>
  <c r="W34" i="30" s="1"/>
  <c r="V51" i="30"/>
  <c r="V46" i="30"/>
  <c r="Y36" i="30"/>
  <c r="AB36" i="30"/>
  <c r="AE49" i="30"/>
  <c r="AE36" i="30"/>
  <c r="AD31" i="30"/>
  <c r="AH49" i="30"/>
  <c r="AT49" i="30"/>
  <c r="AT38" i="30"/>
  <c r="AW39" i="30"/>
  <c r="AE39" i="30"/>
  <c r="AI39" i="30"/>
  <c r="AX39" i="30"/>
  <c r="AU42" i="30"/>
  <c r="AV42" i="30" s="1"/>
  <c r="AQ42" i="30"/>
  <c r="AN42" i="30"/>
  <c r="AK42" i="30"/>
  <c r="AF42" i="30"/>
  <c r="AG42" i="30" s="1"/>
  <c r="AW47" i="30"/>
  <c r="AQ54" i="30"/>
  <c r="AN54" i="30"/>
  <c r="AK54" i="30"/>
  <c r="AL54" i="30"/>
  <c r="AM54" i="30" s="1"/>
  <c r="P47" i="30"/>
  <c r="P39" i="30"/>
  <c r="AA54" i="30"/>
  <c r="AE54" i="30"/>
  <c r="AH54" i="30"/>
  <c r="AW54" i="30"/>
  <c r="AQ39" i="30"/>
  <c r="AT42" i="30"/>
  <c r="AH39" i="30"/>
  <c r="AJ39" i="30"/>
  <c r="AM39" i="30"/>
  <c r="AP39" i="30"/>
  <c r="AT47" i="30"/>
  <c r="AT39" i="30"/>
  <c r="AW42" i="30"/>
  <c r="Y6" i="30"/>
  <c r="AO6" i="30"/>
  <c r="AT6" i="30"/>
  <c r="Q7" i="30"/>
  <c r="AF7" i="30"/>
  <c r="AO8" i="30"/>
  <c r="AC8" i="30"/>
  <c r="Q8" i="30"/>
  <c r="AR8" i="30"/>
  <c r="AX8" i="30"/>
  <c r="AC10" i="30"/>
  <c r="AX10" i="30"/>
  <c r="O11" i="30"/>
  <c r="T11" i="30"/>
  <c r="AU11" i="30"/>
  <c r="Q12" i="30"/>
  <c r="AF12" i="30"/>
  <c r="AL12" i="30"/>
  <c r="AR14" i="30"/>
  <c r="AF14" i="30"/>
  <c r="AX14" i="30"/>
  <c r="AC14" i="30"/>
  <c r="T14" i="30"/>
  <c r="O14" i="30"/>
  <c r="AD14" i="30" s="1"/>
  <c r="AU14" i="30"/>
  <c r="Z6" i="30"/>
  <c r="AF6" i="30"/>
  <c r="AK6" i="30"/>
  <c r="Z7" i="30"/>
  <c r="W7" i="30"/>
  <c r="AR7" i="30"/>
  <c r="T10" i="30"/>
  <c r="AO10" i="30"/>
  <c r="Q11" i="30"/>
  <c r="AF11" i="30"/>
  <c r="AC12" i="30"/>
  <c r="AR12" i="30"/>
  <c r="AX12" i="30"/>
  <c r="AF16" i="30"/>
  <c r="AU6" i="30"/>
  <c r="AQ6" i="30"/>
  <c r="AI6" i="30"/>
  <c r="AE6" i="30"/>
  <c r="O6" i="30"/>
  <c r="AJ6" i="30" s="1"/>
  <c r="V6" i="30"/>
  <c r="AB6" i="30"/>
  <c r="AL6" i="30"/>
  <c r="AR6" i="30"/>
  <c r="AW6" i="30"/>
  <c r="AX11" i="30"/>
  <c r="AL11" i="30"/>
  <c r="Z11" i="30"/>
  <c r="AR11" i="30"/>
  <c r="AO12" i="30"/>
  <c r="AX16" i="30"/>
  <c r="Z16" i="30"/>
  <c r="AI16" i="30"/>
  <c r="AC16" i="30"/>
  <c r="AU16" i="30"/>
  <c r="AO16" i="30"/>
  <c r="T16" i="30"/>
  <c r="O16" i="30"/>
  <c r="AH6" i="30"/>
  <c r="AN6" i="30"/>
  <c r="AS6" i="30"/>
  <c r="AX6" i="30"/>
  <c r="AU10" i="30"/>
  <c r="AI10" i="30"/>
  <c r="O10" i="30"/>
  <c r="AP10" i="30" s="1"/>
  <c r="Q10" i="30"/>
  <c r="AR10" i="30"/>
  <c r="AC11" i="30"/>
  <c r="AI11" i="30"/>
  <c r="Q16" i="30"/>
  <c r="AL16" i="30"/>
  <c r="T9" i="30"/>
  <c r="AF9" i="30"/>
  <c r="AR9" i="30"/>
  <c r="Q13" i="30"/>
  <c r="AF13" i="30"/>
  <c r="AR13" i="30"/>
  <c r="AC15" i="30"/>
  <c r="Q17" i="30"/>
  <c r="W17" i="30"/>
  <c r="AF17" i="30"/>
  <c r="AL17" i="30"/>
  <c r="AR17" i="30"/>
  <c r="AU19" i="30"/>
  <c r="AI19" i="30"/>
  <c r="O19" i="30"/>
  <c r="AV19" i="30" s="1"/>
  <c r="AR19" i="30"/>
  <c r="AC20" i="30"/>
  <c r="AI20" i="30"/>
  <c r="AO20" i="30"/>
  <c r="O21" i="30"/>
  <c r="R21" i="30" s="1"/>
  <c r="Z21" i="30"/>
  <c r="AU21" i="30"/>
  <c r="Q23" i="30"/>
  <c r="AF23" i="30"/>
  <c r="AX24" i="30"/>
  <c r="AL24" i="30"/>
  <c r="W24" i="30"/>
  <c r="AR24" i="30"/>
  <c r="T25" i="30"/>
  <c r="AI25" i="30"/>
  <c r="T27" i="30"/>
  <c r="AO27" i="30"/>
  <c r="Q28" i="30"/>
  <c r="AF28" i="30"/>
  <c r="AW30" i="30"/>
  <c r="AO30" i="30"/>
  <c r="AK30" i="30"/>
  <c r="AC30" i="30"/>
  <c r="AD30" i="30" s="1"/>
  <c r="Y30" i="30"/>
  <c r="W30" i="30"/>
  <c r="X30" i="30" s="1"/>
  <c r="AB30" i="30"/>
  <c r="AH30" i="30"/>
  <c r="AR30" i="30"/>
  <c r="AS30" i="30" s="1"/>
  <c r="AX30" i="30"/>
  <c r="AY30" i="30" s="1"/>
  <c r="AO17" i="30"/>
  <c r="AC17" i="30"/>
  <c r="AX17" i="30"/>
  <c r="Q21" i="30"/>
  <c r="AF21" i="30"/>
  <c r="AL21" i="30"/>
  <c r="AU23" i="30"/>
  <c r="AI23" i="30"/>
  <c r="W23" i="30"/>
  <c r="O23" i="30"/>
  <c r="AP23" i="30" s="1"/>
  <c r="AL23" i="30"/>
  <c r="AR23" i="30"/>
  <c r="Z25" i="30"/>
  <c r="Q27" i="30"/>
  <c r="Z27" i="30"/>
  <c r="AF27" i="30"/>
  <c r="AL28" i="30"/>
  <c r="Z28" i="30"/>
  <c r="W28" i="30"/>
  <c r="AR28" i="30"/>
  <c r="Z33" i="30"/>
  <c r="AF33" i="30"/>
  <c r="AO21" i="30"/>
  <c r="AC21" i="30"/>
  <c r="AX21" i="30"/>
  <c r="Z24" i="30"/>
  <c r="AU27" i="30"/>
  <c r="O27" i="30"/>
  <c r="AV27" i="30" s="1"/>
  <c r="W27" i="30"/>
  <c r="AL27" i="30"/>
  <c r="AR27" i="30"/>
  <c r="AJ30" i="30"/>
  <c r="AP30" i="30"/>
  <c r="AX33" i="30"/>
  <c r="AL33" i="30"/>
  <c r="AU33" i="30"/>
  <c r="AO33" i="30"/>
  <c r="O33" i="30"/>
  <c r="AY33" i="30" s="1"/>
  <c r="AR33" i="30"/>
  <c r="AU15" i="30"/>
  <c r="AI15" i="30"/>
  <c r="W15" i="30"/>
  <c r="T15" i="30"/>
  <c r="O15" i="30"/>
  <c r="AV15" i="30" s="1"/>
  <c r="AL15" i="30"/>
  <c r="AR15" i="30"/>
  <c r="O17" i="30"/>
  <c r="X17" i="30" s="1"/>
  <c r="Z17" i="30"/>
  <c r="AU17" i="30"/>
  <c r="AX20" i="30"/>
  <c r="AL20" i="30"/>
  <c r="Z20" i="30"/>
  <c r="AR20" i="30"/>
  <c r="T21" i="30"/>
  <c r="AI21" i="30"/>
  <c r="Z23" i="30"/>
  <c r="AO23" i="30"/>
  <c r="AO25" i="30"/>
  <c r="W25" i="30"/>
  <c r="AC25" i="30"/>
  <c r="AR25" i="30"/>
  <c r="AX25" i="30"/>
  <c r="AC27" i="30"/>
  <c r="AX27" i="30"/>
  <c r="O28" i="30"/>
  <c r="AA28" i="30" s="1"/>
  <c r="T28" i="30"/>
  <c r="AO28" i="30"/>
  <c r="AU28" i="30"/>
  <c r="AC33" i="30"/>
  <c r="Q18" i="30"/>
  <c r="AF18" i="30"/>
  <c r="AR18" i="30"/>
  <c r="Q22" i="30"/>
  <c r="AF22" i="30"/>
  <c r="AR22" i="30"/>
  <c r="Q26" i="30"/>
  <c r="R26" i="30" s="1"/>
  <c r="AC26" i="30"/>
  <c r="AD26" i="30" s="1"/>
  <c r="AF26" i="30"/>
  <c r="AG26" i="30" s="1"/>
  <c r="AR26" i="30"/>
  <c r="AS26" i="30" s="1"/>
  <c r="Q31" i="30"/>
  <c r="R31" i="30" s="1"/>
  <c r="T31" i="30"/>
  <c r="U31" i="30" s="1"/>
  <c r="AF31" i="30"/>
  <c r="AG31" i="30" s="1"/>
  <c r="AR31" i="30"/>
  <c r="AS31" i="30" s="1"/>
  <c r="Q32" i="30"/>
  <c r="AF32" i="30"/>
  <c r="AF34" i="30"/>
  <c r="AU36" i="30"/>
  <c r="AI36" i="30"/>
  <c r="O36" i="30"/>
  <c r="AY36" i="30" s="1"/>
  <c r="AL36" i="30"/>
  <c r="AR36" i="30"/>
  <c r="AC37" i="30"/>
  <c r="AI37" i="30"/>
  <c r="O38" i="30"/>
  <c r="AY38" i="30" s="1"/>
  <c r="AU38" i="30"/>
  <c r="Q40" i="30"/>
  <c r="Z40" i="30"/>
  <c r="AF40" i="30"/>
  <c r="AX41" i="30"/>
  <c r="Z41" i="30"/>
  <c r="AR41" i="30"/>
  <c r="AS41" i="30" s="1"/>
  <c r="W42" i="30"/>
  <c r="X42" i="30" s="1"/>
  <c r="AI42" i="30"/>
  <c r="AJ42" i="30" s="1"/>
  <c r="T43" i="30"/>
  <c r="U43" i="30" s="1"/>
  <c r="AO44" i="30"/>
  <c r="Q45" i="30"/>
  <c r="AF45" i="30"/>
  <c r="AR46" i="30"/>
  <c r="AF46" i="30"/>
  <c r="W46" i="30"/>
  <c r="AL46" i="30"/>
  <c r="AC47" i="30"/>
  <c r="AR47" i="30"/>
  <c r="AX47" i="30"/>
  <c r="AO34" i="30"/>
  <c r="AC34" i="30"/>
  <c r="AR34" i="30"/>
  <c r="AX34" i="30"/>
  <c r="O37" i="30"/>
  <c r="AD37" i="30" s="1"/>
  <c r="AO37" i="30"/>
  <c r="AF38" i="30"/>
  <c r="AL38" i="30"/>
  <c r="AU40" i="30"/>
  <c r="AI40" i="30"/>
  <c r="O40" i="30"/>
  <c r="AY40" i="30" s="1"/>
  <c r="W40" i="30"/>
  <c r="AL40" i="30"/>
  <c r="AR40" i="30"/>
  <c r="Z42" i="30"/>
  <c r="AA42" i="30" s="1"/>
  <c r="Z44" i="30"/>
  <c r="AF44" i="30"/>
  <c r="AX45" i="30"/>
  <c r="AL45" i="30"/>
  <c r="Z45" i="30"/>
  <c r="AL47" i="30"/>
  <c r="AO38" i="30"/>
  <c r="AC38" i="30"/>
  <c r="AR38" i="30"/>
  <c r="AX38" i="30"/>
  <c r="AR43" i="30"/>
  <c r="AU44" i="30"/>
  <c r="AR44" i="30"/>
  <c r="AI44" i="30"/>
  <c r="O44" i="30"/>
  <c r="AY44" i="30" s="1"/>
  <c r="AL44" i="30"/>
  <c r="T45" i="30"/>
  <c r="AC45" i="30"/>
  <c r="AI45" i="30"/>
  <c r="AU47" i="30"/>
  <c r="AI47" i="30"/>
  <c r="O47" i="30"/>
  <c r="AY47" i="30" s="1"/>
  <c r="AF47" i="30"/>
  <c r="Z47" i="30"/>
  <c r="Q47" i="30"/>
  <c r="Z48" i="30"/>
  <c r="AA48" i="30" s="1"/>
  <c r="O34" i="30"/>
  <c r="AY34" i="30" s="1"/>
  <c r="Z34" i="30"/>
  <c r="AU34" i="30"/>
  <c r="AX37" i="30"/>
  <c r="AL37" i="30"/>
  <c r="Z37" i="30"/>
  <c r="AI38" i="30"/>
  <c r="T39" i="30"/>
  <c r="U39" i="30" s="1"/>
  <c r="T40" i="30"/>
  <c r="AC42" i="30"/>
  <c r="AD42" i="30" s="1"/>
  <c r="AR42" i="30"/>
  <c r="AS42" i="30" s="1"/>
  <c r="AX42" i="30"/>
  <c r="AY42" i="30" s="1"/>
  <c r="AC44" i="30"/>
  <c r="AX44" i="30"/>
  <c r="O45" i="30"/>
  <c r="AY45" i="30" s="1"/>
  <c r="AO45" i="30"/>
  <c r="AU45" i="30"/>
  <c r="Q35" i="30"/>
  <c r="AF35" i="30"/>
  <c r="AG35" i="30" s="1"/>
  <c r="AO35" i="30"/>
  <c r="AR35" i="30"/>
  <c r="AR39" i="30"/>
  <c r="AS39" i="30" s="1"/>
  <c r="Q43" i="30"/>
  <c r="AF43" i="30"/>
  <c r="AX48" i="30"/>
  <c r="AU48" i="30"/>
  <c r="AV48" i="30" s="1"/>
  <c r="AL48" i="30"/>
  <c r="AM48" i="30" s="1"/>
  <c r="W48" i="30"/>
  <c r="X48" i="30" s="1"/>
  <c r="AR48" i="30"/>
  <c r="AS48" i="30" s="1"/>
  <c r="T49" i="30"/>
  <c r="AI49" i="30"/>
  <c r="AU49" i="30"/>
  <c r="Q51" i="30"/>
  <c r="AF51" i="30"/>
  <c r="Z53" i="30"/>
  <c r="O49" i="30"/>
  <c r="Z51" i="30"/>
  <c r="AF52" i="30"/>
  <c r="AG52" i="30" s="1"/>
  <c r="AU53" i="30"/>
  <c r="O53" i="30"/>
  <c r="AY53" i="30" s="1"/>
  <c r="AO53" i="30"/>
  <c r="AC53" i="30"/>
  <c r="T53" i="30"/>
  <c r="AR53" i="30"/>
  <c r="AO51" i="30"/>
  <c r="AU51" i="30"/>
  <c r="AI51" i="30"/>
  <c r="W51" i="30"/>
  <c r="T51" i="30"/>
  <c r="O51" i="30"/>
  <c r="AY51" i="30" s="1"/>
  <c r="AR51" i="30"/>
  <c r="W53" i="30"/>
  <c r="AL53" i="30"/>
  <c r="AO49" i="30"/>
  <c r="AC49" i="30"/>
  <c r="Z49" i="30"/>
  <c r="W49" i="30"/>
  <c r="AR49" i="30"/>
  <c r="AX49" i="30"/>
  <c r="AL51" i="30"/>
  <c r="Q53" i="30"/>
  <c r="AF53" i="30"/>
  <c r="AF50" i="30"/>
  <c r="AR50" i="30"/>
  <c r="Z52" i="30"/>
  <c r="AL52" i="30"/>
  <c r="AX52" i="30"/>
  <c r="Q54" i="30"/>
  <c r="R54" i="30" s="1"/>
  <c r="T54" i="30"/>
  <c r="U54" i="30" s="1"/>
  <c r="AF54" i="30"/>
  <c r="AG54" i="30" s="1"/>
  <c r="AR54" i="30"/>
  <c r="AS54" i="30" s="1"/>
  <c r="Q52" i="30"/>
  <c r="T52" i="30"/>
  <c r="AR52" i="30"/>
  <c r="AX44" i="29"/>
  <c r="AP35" i="29"/>
  <c r="AB38" i="29"/>
  <c r="AE39" i="29"/>
  <c r="AP39" i="29"/>
  <c r="Y40" i="29"/>
  <c r="AH40" i="29"/>
  <c r="AT40" i="29"/>
  <c r="AA42" i="29"/>
  <c r="AP42" i="29"/>
  <c r="AB54" i="29"/>
  <c r="AN54" i="29"/>
  <c r="AE30" i="29"/>
  <c r="AU31" i="29"/>
  <c r="X31" i="29"/>
  <c r="AG31" i="29"/>
  <c r="AN31" i="29"/>
  <c r="AV31" i="29"/>
  <c r="R32" i="29"/>
  <c r="Z32" i="29"/>
  <c r="AJ32" i="29"/>
  <c r="AP32" i="29"/>
  <c r="AW32" i="29"/>
  <c r="AX32" i="29" s="1"/>
  <c r="AG33" i="29"/>
  <c r="O35" i="29"/>
  <c r="P35" i="29" s="1"/>
  <c r="U36" i="29"/>
  <c r="V36" i="29" s="1"/>
  <c r="AB36" i="29"/>
  <c r="AC36" i="29" s="1"/>
  <c r="AJ36" i="29"/>
  <c r="AK36" i="29" s="1"/>
  <c r="N38" i="29"/>
  <c r="AH38" i="29"/>
  <c r="N39" i="29"/>
  <c r="AF39" i="29" s="1"/>
  <c r="U39" i="29"/>
  <c r="AH39" i="29"/>
  <c r="AS39" i="29"/>
  <c r="N40" i="29"/>
  <c r="AX40" i="29" s="1"/>
  <c r="AJ40" i="29"/>
  <c r="AW40" i="29"/>
  <c r="X41" i="29"/>
  <c r="AG41" i="29"/>
  <c r="AS41" i="29"/>
  <c r="N42" i="29"/>
  <c r="AD42" i="29"/>
  <c r="AE42" i="29" s="1"/>
  <c r="AQ42" i="29"/>
  <c r="R44" i="29"/>
  <c r="Z44" i="29"/>
  <c r="AJ44" i="29"/>
  <c r="AP44" i="29"/>
  <c r="AW44" i="29"/>
  <c r="R46" i="29"/>
  <c r="S46" i="29" s="1"/>
  <c r="AK46" i="29"/>
  <c r="AW46" i="29"/>
  <c r="R49" i="29"/>
  <c r="AD49" i="29"/>
  <c r="AP49" i="29"/>
  <c r="Y50" i="29"/>
  <c r="AK50" i="29"/>
  <c r="AW50" i="29"/>
  <c r="AA51" i="29"/>
  <c r="AD52" i="29"/>
  <c r="U53" i="29"/>
  <c r="AG53" i="29"/>
  <c r="AH53" i="29" s="1"/>
  <c r="U54" i="29"/>
  <c r="AG54" i="29"/>
  <c r="AS54" i="29"/>
  <c r="AK30" i="29"/>
  <c r="U32" i="29"/>
  <c r="AD32" i="29"/>
  <c r="AK32" i="29"/>
  <c r="AM33" i="29"/>
  <c r="U35" i="29"/>
  <c r="X36" i="29"/>
  <c r="AD36" i="29"/>
  <c r="AT36" i="29"/>
  <c r="AU36" i="29" s="1"/>
  <c r="R38" i="29"/>
  <c r="AM38" i="29"/>
  <c r="O39" i="29"/>
  <c r="P39" i="29" s="1"/>
  <c r="Y39" i="29"/>
  <c r="AK39" i="29"/>
  <c r="AT39" i="29"/>
  <c r="R40" i="29"/>
  <c r="AD40" i="29"/>
  <c r="AN40" i="29"/>
  <c r="Y41" i="29"/>
  <c r="AJ41" i="29"/>
  <c r="AW41" i="29"/>
  <c r="O42" i="29"/>
  <c r="P42" i="29" s="1"/>
  <c r="AT42" i="29"/>
  <c r="AU42" i="29" s="1"/>
  <c r="U44" i="29"/>
  <c r="AB44" i="29"/>
  <c r="AC44" i="29" s="1"/>
  <c r="AK44" i="29"/>
  <c r="AS44" i="29"/>
  <c r="X46" i="29"/>
  <c r="U49" i="29"/>
  <c r="V49" i="29" s="1"/>
  <c r="AG49" i="29"/>
  <c r="AB50" i="29"/>
  <c r="AM51" i="29"/>
  <c r="AU53" i="29"/>
  <c r="V53" i="29"/>
  <c r="AK53" i="29"/>
  <c r="AW53" i="29"/>
  <c r="X54" i="29"/>
  <c r="AJ54" i="29"/>
  <c r="AV54" i="29"/>
  <c r="X32" i="29"/>
  <c r="AG32" i="29"/>
  <c r="AL32" i="29"/>
  <c r="AT32" i="29"/>
  <c r="AU32" i="29" s="1"/>
  <c r="AE35" i="29"/>
  <c r="R39" i="29"/>
  <c r="AD39" i="29"/>
  <c r="X40" i="29"/>
  <c r="AG40" i="29"/>
  <c r="AB41" i="29"/>
  <c r="X42" i="29"/>
  <c r="AJ42" i="29"/>
  <c r="X44" i="29"/>
  <c r="AD44" i="29"/>
  <c r="AL44" i="29"/>
  <c r="AT44" i="29"/>
  <c r="AU44" i="29" s="1"/>
  <c r="AH49" i="29"/>
  <c r="AX53" i="29"/>
  <c r="Y54" i="29"/>
  <c r="AK54" i="29"/>
  <c r="O7" i="29"/>
  <c r="P7" i="29" s="1"/>
  <c r="AA7" i="29"/>
  <c r="AV8" i="29"/>
  <c r="AJ8" i="29"/>
  <c r="AB8" i="29"/>
  <c r="X8" i="29"/>
  <c r="P8" i="29"/>
  <c r="AS8" i="29"/>
  <c r="AM8" i="29"/>
  <c r="AH8" i="29"/>
  <c r="R8" i="29"/>
  <c r="S8" i="29" s="1"/>
  <c r="AT8" i="29"/>
  <c r="AD8" i="29"/>
  <c r="Y8" i="29"/>
  <c r="N8" i="29"/>
  <c r="AR8" i="29" s="1"/>
  <c r="AG8" i="29"/>
  <c r="AQ8" i="29"/>
  <c r="AB10" i="29"/>
  <c r="AW10" i="29"/>
  <c r="AS7" i="29"/>
  <c r="AG7" i="29"/>
  <c r="Y7" i="29"/>
  <c r="U7" i="29"/>
  <c r="AV7" i="29"/>
  <c r="AQ7" i="29"/>
  <c r="AM7" i="29"/>
  <c r="AH7" i="29"/>
  <c r="AB7" i="29"/>
  <c r="R7" i="29"/>
  <c r="N7" i="29"/>
  <c r="AD7" i="29"/>
  <c r="AJ7" i="29"/>
  <c r="AK7" i="29" s="1"/>
  <c r="AT7" i="29"/>
  <c r="AW7" i="29" s="1"/>
  <c r="AT10" i="29"/>
  <c r="AP10" i="29"/>
  <c r="AH10" i="29"/>
  <c r="AD10" i="29"/>
  <c r="R10" i="29"/>
  <c r="N10" i="29"/>
  <c r="AL10" i="29" s="1"/>
  <c r="AS10" i="29"/>
  <c r="AN10" i="29"/>
  <c r="X10" i="29"/>
  <c r="S10" i="29"/>
  <c r="AV10" i="29"/>
  <c r="AQ10" i="29"/>
  <c r="AA10" i="29"/>
  <c r="AJ10" i="29"/>
  <c r="AK10" i="29" s="1"/>
  <c r="AE10" i="29"/>
  <c r="Y10" i="29"/>
  <c r="O10" i="29"/>
  <c r="U10" i="29"/>
  <c r="AM10" i="29"/>
  <c r="S7" i="29"/>
  <c r="AN7" i="29"/>
  <c r="AU11" i="29"/>
  <c r="Z11" i="29"/>
  <c r="T11" i="29"/>
  <c r="AI11" i="29"/>
  <c r="O6" i="29"/>
  <c r="AA6" i="29"/>
  <c r="AB6" i="29" s="1"/>
  <c r="AC6" i="29" s="1"/>
  <c r="AE6" i="29"/>
  <c r="AF6" i="29" s="1"/>
  <c r="AI6" i="29"/>
  <c r="AM6" i="29"/>
  <c r="AW11" i="29"/>
  <c r="AX11" i="29" s="1"/>
  <c r="AS11" i="29"/>
  <c r="AK11" i="29"/>
  <c r="AG11" i="29"/>
  <c r="AC11" i="29"/>
  <c r="Y11" i="29"/>
  <c r="U11" i="29"/>
  <c r="V11" i="29" s="1"/>
  <c r="W11" i="29" s="1"/>
  <c r="Q11" i="29"/>
  <c r="AA11" i="29"/>
  <c r="AF11" i="29"/>
  <c r="AL11" i="29"/>
  <c r="AQ11" i="29"/>
  <c r="AR11" i="29" s="1"/>
  <c r="AV11" i="29"/>
  <c r="R12" i="29"/>
  <c r="S12" i="29" s="1"/>
  <c r="AH12" i="29"/>
  <c r="AI12" i="29" s="1"/>
  <c r="AM12" i="29"/>
  <c r="AS12" i="29"/>
  <c r="AC13" i="29"/>
  <c r="AX13" i="29"/>
  <c r="X14" i="29"/>
  <c r="AN14" i="29"/>
  <c r="AS14" i="29"/>
  <c r="O15" i="29"/>
  <c r="P15" i="29" s="1"/>
  <c r="AJ15" i="29"/>
  <c r="AP15" i="29"/>
  <c r="AV16" i="29"/>
  <c r="AN16" i="29"/>
  <c r="AO16" i="29" s="1"/>
  <c r="AJ16" i="29"/>
  <c r="AF16" i="29"/>
  <c r="AB16" i="29"/>
  <c r="X16" i="29"/>
  <c r="T16" i="29"/>
  <c r="Q16" i="29"/>
  <c r="AA16" i="29"/>
  <c r="AG16" i="29"/>
  <c r="AQ16" i="29"/>
  <c r="AR16" i="29" s="1"/>
  <c r="AW16" i="29"/>
  <c r="AL17" i="29"/>
  <c r="AB18" i="29"/>
  <c r="AG18" i="29"/>
  <c r="AM18" i="29"/>
  <c r="N19" i="29"/>
  <c r="AC19" i="29" s="1"/>
  <c r="S19" i="29"/>
  <c r="X19" i="29"/>
  <c r="AD19" i="29"/>
  <c r="AN19" i="29"/>
  <c r="AO19" i="29" s="1"/>
  <c r="AT19" i="29"/>
  <c r="O20" i="29"/>
  <c r="P20" i="29" s="1"/>
  <c r="U20" i="29"/>
  <c r="AE20" i="29"/>
  <c r="AK20" i="29"/>
  <c r="AP20" i="29"/>
  <c r="AU21" i="29"/>
  <c r="Z21" i="29"/>
  <c r="AT22" i="29"/>
  <c r="AP22" i="29"/>
  <c r="AQ22" i="29" s="1"/>
  <c r="AH22" i="29"/>
  <c r="AD22" i="29"/>
  <c r="R22" i="29"/>
  <c r="S22" i="29" s="1"/>
  <c r="N22" i="29"/>
  <c r="Z22" i="29" s="1"/>
  <c r="U22" i="29"/>
  <c r="AA22" i="29"/>
  <c r="AK22" i="29"/>
  <c r="AV22" i="29"/>
  <c r="R23" i="29"/>
  <c r="S23" i="29" s="1"/>
  <c r="AB23" i="29"/>
  <c r="AC23" i="29" s="1"/>
  <c r="AH23" i="29"/>
  <c r="AI23" i="29" s="1"/>
  <c r="AM23" i="29"/>
  <c r="N24" i="29"/>
  <c r="Q24" i="29" s="1"/>
  <c r="AD24" i="29"/>
  <c r="AT24" i="29"/>
  <c r="O26" i="29"/>
  <c r="P26" i="29" s="1"/>
  <c r="Y26" i="29"/>
  <c r="AE26" i="29"/>
  <c r="AJ26" i="29"/>
  <c r="AX27" i="29"/>
  <c r="AT27" i="29"/>
  <c r="AU27" i="29" s="1"/>
  <c r="AP27" i="29"/>
  <c r="AL27" i="29"/>
  <c r="AD27" i="29"/>
  <c r="AS27" i="29"/>
  <c r="AV27" i="29"/>
  <c r="AQ27" i="29"/>
  <c r="AK27" i="29"/>
  <c r="AA27" i="29"/>
  <c r="AO27" i="29"/>
  <c r="AJ27" i="29"/>
  <c r="AE27" i="29"/>
  <c r="AF27" i="29" s="1"/>
  <c r="Y27" i="29"/>
  <c r="Z27" i="29" s="1"/>
  <c r="U27" i="29"/>
  <c r="V27" i="29" s="1"/>
  <c r="W27" i="29" s="1"/>
  <c r="Q27" i="29"/>
  <c r="AG27" i="29"/>
  <c r="AH27" i="29" s="1"/>
  <c r="AI27" i="29" s="1"/>
  <c r="AR27" i="29"/>
  <c r="AU28" i="29"/>
  <c r="T28" i="29"/>
  <c r="AI28" i="29"/>
  <c r="P30" i="29"/>
  <c r="V30" i="29"/>
  <c r="AO13" i="29"/>
  <c r="O14" i="29"/>
  <c r="P14" i="29" s="1"/>
  <c r="Y14" i="29"/>
  <c r="AE14" i="29"/>
  <c r="AJ14" i="29"/>
  <c r="AW15" i="29"/>
  <c r="AS15" i="29"/>
  <c r="AK15" i="29"/>
  <c r="AG15" i="29"/>
  <c r="Y15" i="29"/>
  <c r="U15" i="29"/>
  <c r="V15" i="29"/>
  <c r="AA15" i="29"/>
  <c r="AL15" i="29"/>
  <c r="AQ15" i="29"/>
  <c r="AV15" i="29"/>
  <c r="AC16" i="29"/>
  <c r="AX16" i="29"/>
  <c r="AC17" i="29"/>
  <c r="AX17" i="29"/>
  <c r="AE19" i="29"/>
  <c r="AF19" i="29" s="1"/>
  <c r="AJ19" i="29"/>
  <c r="AP19" i="29"/>
  <c r="AV20" i="29"/>
  <c r="AJ20" i="29"/>
  <c r="AB20" i="29"/>
  <c r="X20" i="29"/>
  <c r="AA20" i="29"/>
  <c r="AG20" i="29"/>
  <c r="AQ20" i="29"/>
  <c r="AW20" i="29"/>
  <c r="AE24" i="29"/>
  <c r="AF24" i="29" s="1"/>
  <c r="AK24" i="29"/>
  <c r="AP24" i="29"/>
  <c r="AT26" i="29"/>
  <c r="AP26" i="29"/>
  <c r="AH26" i="29"/>
  <c r="AD26" i="29"/>
  <c r="V26" i="29"/>
  <c r="R26" i="29"/>
  <c r="S26" i="29" s="1"/>
  <c r="N26" i="29"/>
  <c r="U26" i="29"/>
  <c r="AA26" i="29"/>
  <c r="AK26" i="29"/>
  <c r="AQ26" i="29"/>
  <c r="AV26" i="29"/>
  <c r="Z12" i="29"/>
  <c r="Z13" i="29"/>
  <c r="AP14" i="29"/>
  <c r="AH14" i="29"/>
  <c r="AD14" i="29"/>
  <c r="Z14" i="29"/>
  <c r="R14" i="29"/>
  <c r="N14" i="29"/>
  <c r="AL14" i="29" s="1"/>
  <c r="U14" i="29"/>
  <c r="AA14" i="29"/>
  <c r="AK14" i="29"/>
  <c r="AQ14" i="29"/>
  <c r="AV14" i="29"/>
  <c r="R15" i="29"/>
  <c r="S15" i="29" s="1"/>
  <c r="AB15" i="29"/>
  <c r="AH15" i="29"/>
  <c r="AM15" i="29"/>
  <c r="AI16" i="29"/>
  <c r="AO17" i="29"/>
  <c r="AW19" i="29"/>
  <c r="AX19" i="29" s="1"/>
  <c r="AS19" i="29"/>
  <c r="AG19" i="29"/>
  <c r="Y19" i="29"/>
  <c r="Z19" i="29" s="1"/>
  <c r="U19" i="29"/>
  <c r="V19" i="29" s="1"/>
  <c r="AA19" i="29"/>
  <c r="AQ19" i="29"/>
  <c r="AV19" i="29"/>
  <c r="R20" i="29"/>
  <c r="AH20" i="29"/>
  <c r="AI20" i="29" s="1"/>
  <c r="AM20" i="29"/>
  <c r="AS20" i="29"/>
  <c r="AX21" i="29"/>
  <c r="T23" i="29"/>
  <c r="AE23" i="29"/>
  <c r="AJ23" i="29"/>
  <c r="AP23" i="29"/>
  <c r="AV24" i="29"/>
  <c r="AN24" i="29"/>
  <c r="AJ24" i="29"/>
  <c r="AB24" i="29"/>
  <c r="X24" i="29"/>
  <c r="Y24" i="29" s="1"/>
  <c r="Z24" i="29" s="1"/>
  <c r="V24" i="29"/>
  <c r="AA24" i="29"/>
  <c r="AG24" i="29"/>
  <c r="AQ24" i="29"/>
  <c r="AR24" i="29" s="1"/>
  <c r="AW24" i="29"/>
  <c r="AX24" i="29" s="1"/>
  <c r="AG26" i="29"/>
  <c r="AM26" i="29"/>
  <c r="AW26" i="29"/>
  <c r="AV12" i="29"/>
  <c r="AR12" i="29"/>
  <c r="AJ12" i="29"/>
  <c r="AF12" i="29"/>
  <c r="AB12" i="29"/>
  <c r="AC12" i="29" s="1"/>
  <c r="X12" i="29"/>
  <c r="T12" i="29"/>
  <c r="Q12" i="29"/>
  <c r="AA12" i="29"/>
  <c r="AG12" i="29"/>
  <c r="AL12" i="29"/>
  <c r="AQ12" i="29"/>
  <c r="AW12" i="29"/>
  <c r="AX12" i="29" s="1"/>
  <c r="AL13" i="29"/>
  <c r="AB14" i="29"/>
  <c r="AG14" i="29"/>
  <c r="AM14" i="29"/>
  <c r="AR14" i="29"/>
  <c r="AW14" i="29"/>
  <c r="N15" i="29"/>
  <c r="Q15" i="29" s="1"/>
  <c r="X15" i="29"/>
  <c r="AD15" i="29"/>
  <c r="AE15" i="29" s="1"/>
  <c r="AN15" i="29"/>
  <c r="AT15" i="29"/>
  <c r="Z16" i="29"/>
  <c r="AU17" i="29"/>
  <c r="Z17" i="29"/>
  <c r="AT18" i="29"/>
  <c r="AP18" i="29"/>
  <c r="AD18" i="29"/>
  <c r="V18" i="29"/>
  <c r="R18" i="29"/>
  <c r="S18" i="29" s="1"/>
  <c r="N18" i="29"/>
  <c r="Q18" i="29" s="1"/>
  <c r="U18" i="29"/>
  <c r="AA18" i="29"/>
  <c r="AK18" i="29"/>
  <c r="AQ18" i="29"/>
  <c r="AV18" i="29"/>
  <c r="R19" i="29"/>
  <c r="AB19" i="29"/>
  <c r="AH19" i="29"/>
  <c r="AI19" i="29" s="1"/>
  <c r="AM19" i="29"/>
  <c r="N20" i="29"/>
  <c r="Z20" i="29" s="1"/>
  <c r="S20" i="29"/>
  <c r="Y20" i="29"/>
  <c r="AD20" i="29"/>
  <c r="AT20" i="29"/>
  <c r="AW23" i="29"/>
  <c r="AX23" i="29" s="1"/>
  <c r="AS23" i="29"/>
  <c r="AO23" i="29"/>
  <c r="AK23" i="29"/>
  <c r="AL23" i="29" s="1"/>
  <c r="AG23" i="29"/>
  <c r="U23" i="29"/>
  <c r="Y23" i="29" s="1"/>
  <c r="Z23" i="29" s="1"/>
  <c r="Q23" i="29"/>
  <c r="V23" i="29"/>
  <c r="W23" i="29" s="1"/>
  <c r="AA23" i="29"/>
  <c r="AF23" i="29"/>
  <c r="AQ23" i="29"/>
  <c r="AR23" i="29" s="1"/>
  <c r="AV23" i="29"/>
  <c r="R24" i="29"/>
  <c r="S24" i="29" s="1"/>
  <c r="T24" i="29" s="1"/>
  <c r="W24" i="29"/>
  <c r="AC24" i="29"/>
  <c r="AH24" i="29"/>
  <c r="AM24" i="29"/>
  <c r="AS24" i="29"/>
  <c r="X26" i="29"/>
  <c r="AN26" i="29"/>
  <c r="AS26" i="29"/>
  <c r="T27" i="29"/>
  <c r="O9" i="29"/>
  <c r="S9" i="29" s="1"/>
  <c r="T9" i="29" s="1"/>
  <c r="AA9" i="29"/>
  <c r="AE9" i="29"/>
  <c r="AF9" i="29" s="1"/>
  <c r="AM9" i="29"/>
  <c r="AQ9" i="29"/>
  <c r="AR9" i="29" s="1"/>
  <c r="O13" i="29"/>
  <c r="P13" i="29" s="1"/>
  <c r="Q13" i="29" s="1"/>
  <c r="AA13" i="29"/>
  <c r="AE13" i="29"/>
  <c r="AF13" i="29" s="1"/>
  <c r="AI13" i="29"/>
  <c r="AM13" i="29"/>
  <c r="AQ13" i="29" s="1"/>
  <c r="AR13" i="29" s="1"/>
  <c r="O17" i="29"/>
  <c r="P17" i="29" s="1"/>
  <c r="Q17" i="29" s="1"/>
  <c r="W17" i="29"/>
  <c r="AA17" i="29"/>
  <c r="AE17" i="29"/>
  <c r="AF17" i="29" s="1"/>
  <c r="AI17" i="29"/>
  <c r="AM17" i="29"/>
  <c r="AQ17" i="29" s="1"/>
  <c r="AR17" i="29" s="1"/>
  <c r="O21" i="29"/>
  <c r="P21" i="29" s="1"/>
  <c r="Q21" i="29" s="1"/>
  <c r="W21" i="29"/>
  <c r="AA21" i="29"/>
  <c r="AE21" i="29"/>
  <c r="AF21" i="29" s="1"/>
  <c r="AI21" i="29"/>
  <c r="AM21" i="29"/>
  <c r="AQ21" i="29" s="1"/>
  <c r="AR21" i="29" s="1"/>
  <c r="O25" i="29"/>
  <c r="P25" i="29" s="1"/>
  <c r="Q25" i="29" s="1"/>
  <c r="W25" i="29"/>
  <c r="AA25" i="29"/>
  <c r="AB25" i="29" s="1"/>
  <c r="AC25" i="29" s="1"/>
  <c r="AE25" i="29"/>
  <c r="AF25" i="29" s="1"/>
  <c r="AI25" i="29"/>
  <c r="AM25" i="29"/>
  <c r="AQ25" i="29"/>
  <c r="AR25" i="29" s="1"/>
  <c r="AS28" i="29"/>
  <c r="AO28" i="29"/>
  <c r="AK28" i="29"/>
  <c r="AG28" i="29"/>
  <c r="Y28" i="29"/>
  <c r="Z28" i="29" s="1"/>
  <c r="U28" i="29"/>
  <c r="Q28" i="29"/>
  <c r="V28" i="29"/>
  <c r="W28" i="29" s="1"/>
  <c r="AA28" i="29"/>
  <c r="AB28" i="29" s="1"/>
  <c r="AC28" i="29" s="1"/>
  <c r="AF28" i="29"/>
  <c r="AL28" i="29"/>
  <c r="AQ28" i="29"/>
  <c r="AR28" i="29" s="1"/>
  <c r="AV28" i="29"/>
  <c r="AW28" i="29" s="1"/>
  <c r="AX28" i="29" s="1"/>
  <c r="R30" i="29"/>
  <c r="S30" i="29" s="1"/>
  <c r="AH30" i="29"/>
  <c r="AM30" i="29"/>
  <c r="AS30" i="29"/>
  <c r="AX31" i="29"/>
  <c r="O33" i="29"/>
  <c r="Y33" i="29"/>
  <c r="AJ33" i="29"/>
  <c r="AW34" i="29"/>
  <c r="AX34" i="29" s="1"/>
  <c r="AS34" i="29"/>
  <c r="AO34" i="29"/>
  <c r="AK34" i="29"/>
  <c r="AL34" i="29" s="1"/>
  <c r="AG34" i="29"/>
  <c r="AH34" i="29" s="1"/>
  <c r="AI34" i="29" s="1"/>
  <c r="AC34" i="29"/>
  <c r="Y34" i="29"/>
  <c r="U34" i="29"/>
  <c r="P34" i="29"/>
  <c r="Q34" i="29" s="1"/>
  <c r="AA34" i="29"/>
  <c r="AQ34" i="29"/>
  <c r="AR34" i="29" s="1"/>
  <c r="AV34" i="29"/>
  <c r="R35" i="29"/>
  <c r="AH35" i="29"/>
  <c r="AM35" i="29"/>
  <c r="AS35" i="29"/>
  <c r="AX36" i="29"/>
  <c r="X37" i="29"/>
  <c r="AN37" i="29"/>
  <c r="AS37" i="29"/>
  <c r="O38" i="29"/>
  <c r="P38" i="29" s="1"/>
  <c r="Q38" i="29" s="1"/>
  <c r="AE38" i="29"/>
  <c r="AJ38" i="29"/>
  <c r="AK38" i="29" s="1"/>
  <c r="AP38" i="29"/>
  <c r="AV39" i="29"/>
  <c r="AN39" i="29"/>
  <c r="AJ39" i="29"/>
  <c r="X39" i="29"/>
  <c r="Q39" i="29"/>
  <c r="V39" i="29"/>
  <c r="W39" i="29" s="1"/>
  <c r="AA39" i="29"/>
  <c r="AG39" i="29"/>
  <c r="AL39" i="29"/>
  <c r="AQ39" i="29"/>
  <c r="AR39" i="29" s="1"/>
  <c r="AW39" i="29"/>
  <c r="AW42" i="29"/>
  <c r="AX42" i="29" s="1"/>
  <c r="AS42" i="29"/>
  <c r="AK42" i="29"/>
  <c r="AG42" i="29"/>
  <c r="AH42" i="29" s="1"/>
  <c r="AI42" i="29" s="1"/>
  <c r="Y42" i="29"/>
  <c r="Z42" i="29" s="1"/>
  <c r="U42" i="29"/>
  <c r="AR42" i="29"/>
  <c r="AM42" i="29"/>
  <c r="AB42" i="29"/>
  <c r="AC42" i="29" s="1"/>
  <c r="R42" i="29"/>
  <c r="AF42" i="29"/>
  <c r="AN42" i="29"/>
  <c r="AO42" i="29" s="1"/>
  <c r="U43" i="29"/>
  <c r="AA43" i="29"/>
  <c r="AP43" i="29"/>
  <c r="AW43" i="29"/>
  <c r="AK45" i="29"/>
  <c r="N30" i="29"/>
  <c r="Q30" i="29" s="1"/>
  <c r="Y30" i="29"/>
  <c r="AD30" i="29"/>
  <c r="AO31" i="29"/>
  <c r="AT33" i="29"/>
  <c r="AP33" i="29"/>
  <c r="AD33" i="29"/>
  <c r="R33" i="29"/>
  <c r="N33" i="29"/>
  <c r="AX33" i="29" s="1"/>
  <c r="U33" i="29"/>
  <c r="AA33" i="29"/>
  <c r="AK33" i="29"/>
  <c r="AQ33" i="29"/>
  <c r="AV33" i="29"/>
  <c r="W34" i="29"/>
  <c r="N35" i="29"/>
  <c r="Y35" i="29"/>
  <c r="AD35" i="29"/>
  <c r="AO36" i="29"/>
  <c r="O37" i="29"/>
  <c r="P37" i="29" s="1"/>
  <c r="Y37" i="29"/>
  <c r="Z37" i="29" s="1"/>
  <c r="AE37" i="29"/>
  <c r="AJ37" i="29"/>
  <c r="AW38" i="29"/>
  <c r="AX38" i="29" s="1"/>
  <c r="AS38" i="29"/>
  <c r="AG38" i="29"/>
  <c r="AC38" i="29"/>
  <c r="Y38" i="29"/>
  <c r="Z38" i="29" s="1"/>
  <c r="U38" i="29"/>
  <c r="V38" i="29" s="1"/>
  <c r="W38" i="29" s="1"/>
  <c r="AA38" i="29"/>
  <c r="AF38" i="29"/>
  <c r="AQ38" i="29"/>
  <c r="AR38" i="29" s="1"/>
  <c r="AV38" i="29"/>
  <c r="AX39" i="29"/>
  <c r="AO40" i="29"/>
  <c r="O43" i="29"/>
  <c r="AK43" i="29"/>
  <c r="AQ43" i="29"/>
  <c r="AT45" i="29"/>
  <c r="AP45" i="29"/>
  <c r="AH45" i="29"/>
  <c r="AD45" i="29"/>
  <c r="Z45" i="29"/>
  <c r="R45" i="29"/>
  <c r="N45" i="29"/>
  <c r="AO45" i="29" s="1"/>
  <c r="AJ45" i="29"/>
  <c r="AE45" i="29"/>
  <c r="AF45" i="29" s="1"/>
  <c r="Y45" i="29"/>
  <c r="O45" i="29"/>
  <c r="P45" i="29" s="1"/>
  <c r="Q45" i="29"/>
  <c r="X45" i="29"/>
  <c r="AM45" i="29"/>
  <c r="AS45" i="29"/>
  <c r="AW47" i="29"/>
  <c r="AS47" i="29"/>
  <c r="AK47" i="29"/>
  <c r="AG47" i="29"/>
  <c r="Y47" i="29"/>
  <c r="U47" i="29"/>
  <c r="V47" i="29" s="1"/>
  <c r="AT47" i="29"/>
  <c r="AP47" i="29"/>
  <c r="AH47" i="29"/>
  <c r="AD47" i="29"/>
  <c r="R47" i="29"/>
  <c r="N47" i="29"/>
  <c r="AV47" i="29"/>
  <c r="X47" i="29"/>
  <c r="AJ47" i="29"/>
  <c r="AA47" i="29"/>
  <c r="O47" i="29"/>
  <c r="P47" i="29" s="1"/>
  <c r="AM47" i="29"/>
  <c r="AN47" i="29" s="1"/>
  <c r="AB47" i="29"/>
  <c r="AE47" i="29"/>
  <c r="AT37" i="29"/>
  <c r="AP37" i="29"/>
  <c r="AH37" i="29"/>
  <c r="AD37" i="29"/>
  <c r="R37" i="29"/>
  <c r="N37" i="29"/>
  <c r="U37" i="29"/>
  <c r="AA37" i="29"/>
  <c r="AQ37" i="29"/>
  <c r="AV37" i="29"/>
  <c r="AI39" i="29"/>
  <c r="AO39" i="29"/>
  <c r="AC40" i="29"/>
  <c r="V42" i="29"/>
  <c r="W42" i="29" s="1"/>
  <c r="AA45" i="29"/>
  <c r="AG45" i="29"/>
  <c r="AN45" i="29"/>
  <c r="AV45" i="29"/>
  <c r="AV30" i="29"/>
  <c r="AR30" i="29"/>
  <c r="AN30" i="29"/>
  <c r="AJ30" i="29"/>
  <c r="X30" i="29"/>
  <c r="AA30" i="29"/>
  <c r="AG30" i="29"/>
  <c r="AQ30" i="29"/>
  <c r="AW30" i="29"/>
  <c r="AL31" i="29"/>
  <c r="X33" i="29"/>
  <c r="AN33" i="29"/>
  <c r="AS33" i="29"/>
  <c r="Z34" i="29"/>
  <c r="AV35" i="29"/>
  <c r="AN35" i="29"/>
  <c r="AJ35" i="29"/>
  <c r="AB35" i="29"/>
  <c r="X35" i="29"/>
  <c r="T35" i="29"/>
  <c r="AA35" i="29"/>
  <c r="AG35" i="29"/>
  <c r="AQ35" i="29"/>
  <c r="AW35" i="29"/>
  <c r="AL36" i="29"/>
  <c r="AB37" i="29"/>
  <c r="AG37" i="29"/>
  <c r="AM37" i="29"/>
  <c r="AW37" i="29"/>
  <c r="AD38" i="29"/>
  <c r="AI38" i="29"/>
  <c r="AN38" i="29"/>
  <c r="AO38" i="29" s="1"/>
  <c r="AT38" i="29"/>
  <c r="AU38" i="29" s="1"/>
  <c r="Z39" i="29"/>
  <c r="V41" i="29"/>
  <c r="P41" i="29"/>
  <c r="AV43" i="29"/>
  <c r="AN43" i="29"/>
  <c r="AJ43" i="29"/>
  <c r="AB43" i="29"/>
  <c r="X43" i="29"/>
  <c r="AT43" i="29"/>
  <c r="AD43" i="29"/>
  <c r="Y43" i="29"/>
  <c r="N43" i="29"/>
  <c r="R43" i="29"/>
  <c r="AG43" i="29"/>
  <c r="AH43" i="29" s="1"/>
  <c r="AM43" i="29"/>
  <c r="U45" i="29"/>
  <c r="AB45" i="29"/>
  <c r="AC45" i="29" s="1"/>
  <c r="AW45" i="29"/>
  <c r="T46" i="29"/>
  <c r="AQ47" i="29"/>
  <c r="O31" i="29"/>
  <c r="AA31" i="29"/>
  <c r="AB31" i="29" s="1"/>
  <c r="AC31" i="29" s="1"/>
  <c r="AE31" i="29"/>
  <c r="AF31" i="29" s="1"/>
  <c r="AI31" i="29"/>
  <c r="AM31" i="29"/>
  <c r="AQ31" i="29"/>
  <c r="AR31" i="29" s="1"/>
  <c r="O32" i="29"/>
  <c r="AA32" i="29"/>
  <c r="AB32" i="29" s="1"/>
  <c r="AC32" i="29" s="1"/>
  <c r="AE32" i="29"/>
  <c r="AF32" i="29" s="1"/>
  <c r="AI32" i="29"/>
  <c r="AM32" i="29"/>
  <c r="AQ32" i="29"/>
  <c r="AR32" i="29" s="1"/>
  <c r="O36" i="29"/>
  <c r="P36" i="29" s="1"/>
  <c r="Q36" i="29" s="1"/>
  <c r="W36" i="29"/>
  <c r="AA36" i="29"/>
  <c r="AE36" i="29"/>
  <c r="AF36" i="29" s="1"/>
  <c r="AI36" i="29"/>
  <c r="AM36" i="29"/>
  <c r="AQ36" i="29"/>
  <c r="AR36" i="29" s="1"/>
  <c r="AQ40" i="29"/>
  <c r="AR40" i="29" s="1"/>
  <c r="AM40" i="29"/>
  <c r="AI40" i="29"/>
  <c r="AE40" i="29"/>
  <c r="AA40" i="29"/>
  <c r="AB40" i="29" s="1"/>
  <c r="O40" i="29"/>
  <c r="U40" i="29"/>
  <c r="AK40" i="29"/>
  <c r="AL40" i="29" s="1"/>
  <c r="AP40" i="29"/>
  <c r="AV40" i="29"/>
  <c r="AT41" i="29"/>
  <c r="AP41" i="29"/>
  <c r="AD41" i="29"/>
  <c r="R41" i="29"/>
  <c r="S41" i="29" s="1"/>
  <c r="N41" i="29"/>
  <c r="AX41" i="29" s="1"/>
  <c r="U41" i="29"/>
  <c r="AA41" i="29"/>
  <c r="AK41" i="29"/>
  <c r="AQ41" i="29"/>
  <c r="AV41" i="29"/>
  <c r="AX46" i="29"/>
  <c r="AT46" i="29"/>
  <c r="AP46" i="29"/>
  <c r="AL46" i="29"/>
  <c r="AH46" i="29"/>
  <c r="AI46" i="29" s="1"/>
  <c r="AD46" i="29"/>
  <c r="Z46" i="29"/>
  <c r="AU46" i="29"/>
  <c r="AM46" i="29"/>
  <c r="AE46" i="29"/>
  <c r="AA46" i="29"/>
  <c r="AJ46" i="29"/>
  <c r="AB46" i="29"/>
  <c r="AC46" i="29" s="1"/>
  <c r="U46" i="29"/>
  <c r="V46" i="29" s="1"/>
  <c r="W46" i="29" s="1"/>
  <c r="Q46" i="29"/>
  <c r="AF46" i="29"/>
  <c r="AO46" i="29"/>
  <c r="AD48" i="29"/>
  <c r="Z49" i="29"/>
  <c r="AW51" i="29"/>
  <c r="AS51" i="29"/>
  <c r="AK51" i="29"/>
  <c r="AG51" i="29"/>
  <c r="Y51" i="29"/>
  <c r="U51" i="29"/>
  <c r="AV51" i="29"/>
  <c r="AN51" i="29"/>
  <c r="AJ51" i="29"/>
  <c r="AB51" i="29"/>
  <c r="X51" i="29"/>
  <c r="AP51" i="29"/>
  <c r="AQ51" i="29" s="1"/>
  <c r="AH51" i="29"/>
  <c r="AD51" i="29"/>
  <c r="R51" i="29"/>
  <c r="S51" i="29" s="1"/>
  <c r="N51" i="29"/>
  <c r="AE51" i="29"/>
  <c r="AV48" i="29"/>
  <c r="AJ48" i="29"/>
  <c r="AB48" i="29"/>
  <c r="X48" i="29"/>
  <c r="AW48" i="29"/>
  <c r="AS48" i="29"/>
  <c r="AK48" i="29"/>
  <c r="AG48" i="29"/>
  <c r="Y48" i="29"/>
  <c r="U48" i="29"/>
  <c r="AM48" i="29"/>
  <c r="AN48" i="29" s="1"/>
  <c r="AE48" i="29"/>
  <c r="O48" i="29"/>
  <c r="P48" i="29" s="1"/>
  <c r="AH48" i="29"/>
  <c r="AQ48" i="29"/>
  <c r="N48" i="29"/>
  <c r="AC48" i="29" s="1"/>
  <c r="AT48" i="29"/>
  <c r="AU48" i="29" s="1"/>
  <c r="R48" i="29"/>
  <c r="AA48" i="29"/>
  <c r="AL48" i="29"/>
  <c r="AX49" i="29"/>
  <c r="O44" i="29"/>
  <c r="AA44" i="29"/>
  <c r="AM44" i="29"/>
  <c r="AQ44" i="29"/>
  <c r="AR44" i="29" s="1"/>
  <c r="X49" i="29"/>
  <c r="AB49" i="29"/>
  <c r="AC49" i="29" s="1"/>
  <c r="AJ49" i="29"/>
  <c r="AN49" i="29"/>
  <c r="AO49" i="29" s="1"/>
  <c r="AV49" i="29"/>
  <c r="O50" i="29"/>
  <c r="P50" i="29" s="1"/>
  <c r="AA50" i="29"/>
  <c r="AE50" i="29"/>
  <c r="AM50" i="29"/>
  <c r="U52" i="29"/>
  <c r="Y52" i="29"/>
  <c r="Z52" i="29" s="1"/>
  <c r="AG52" i="29"/>
  <c r="AK52" i="29"/>
  <c r="AL52" i="29" s="1"/>
  <c r="AS52" i="29"/>
  <c r="AW52" i="29"/>
  <c r="AX52" i="29" s="1"/>
  <c r="X53" i="29"/>
  <c r="AB53" i="29"/>
  <c r="AC53" i="29" s="1"/>
  <c r="AJ53" i="29"/>
  <c r="AN53" i="29"/>
  <c r="AO53" i="29" s="1"/>
  <c r="AV53" i="29"/>
  <c r="O54" i="29"/>
  <c r="P54" i="29" s="1"/>
  <c r="S54" i="29"/>
  <c r="AA54" i="29"/>
  <c r="AE54" i="29"/>
  <c r="AM54" i="29"/>
  <c r="AQ54" i="29"/>
  <c r="O52" i="29"/>
  <c r="P52" i="29" s="1"/>
  <c r="Q52" i="29" s="1"/>
  <c r="W52" i="29"/>
  <c r="AA52" i="29"/>
  <c r="AE52" i="29"/>
  <c r="AF52" i="29" s="1"/>
  <c r="AI52" i="29"/>
  <c r="AM52" i="29"/>
  <c r="AQ52" i="29"/>
  <c r="AR52" i="29" s="1"/>
  <c r="AU52" i="29"/>
  <c r="Z53" i="29"/>
  <c r="AL53" i="29"/>
  <c r="O49" i="29"/>
  <c r="P49" i="29" s="1"/>
  <c r="Q49" i="29" s="1"/>
  <c r="W49" i="29"/>
  <c r="AA49" i="29"/>
  <c r="AE49" i="29"/>
  <c r="AF49" i="29" s="1"/>
  <c r="AI49" i="29"/>
  <c r="AM49" i="29"/>
  <c r="N50" i="29"/>
  <c r="AX50" i="29" s="1"/>
  <c r="R50" i="29"/>
  <c r="AD50" i="29"/>
  <c r="AH50" i="29"/>
  <c r="AP50" i="29"/>
  <c r="X52" i="29"/>
  <c r="AJ52" i="29"/>
  <c r="AN52" i="29"/>
  <c r="AO52" i="29" s="1"/>
  <c r="O53" i="29"/>
  <c r="P53" i="29" s="1"/>
  <c r="Q53" i="29" s="1"/>
  <c r="W53" i="29"/>
  <c r="AA53" i="29"/>
  <c r="AE53" i="29"/>
  <c r="AF53" i="29" s="1"/>
  <c r="AI53" i="29"/>
  <c r="AM53" i="29"/>
  <c r="AQ53" i="29"/>
  <c r="AR53" i="29" s="1"/>
  <c r="N54" i="29"/>
  <c r="Z54" i="29" s="1"/>
  <c r="R54" i="29"/>
  <c r="V54" i="29" s="1"/>
  <c r="AD54" i="29"/>
  <c r="AH54" i="29" s="1"/>
  <c r="AL54" i="29"/>
  <c r="AP54" i="29"/>
  <c r="AT54" i="29"/>
  <c r="S38" i="28"/>
  <c r="R31" i="28"/>
  <c r="Y32" i="28"/>
  <c r="AU33" i="28"/>
  <c r="X33" i="28"/>
  <c r="AD33" i="28"/>
  <c r="AN33" i="28"/>
  <c r="AV33" i="28"/>
  <c r="N36" i="28"/>
  <c r="AU36" i="28" s="1"/>
  <c r="Y36" i="28"/>
  <c r="AG36" i="28"/>
  <c r="AP36" i="28"/>
  <c r="AW36" i="28"/>
  <c r="AX36" i="28" s="1"/>
  <c r="AB37" i="28"/>
  <c r="AW37" i="28"/>
  <c r="O38" i="28"/>
  <c r="P38" i="28" s="1"/>
  <c r="AB38" i="28"/>
  <c r="AJ38" i="28"/>
  <c r="U39" i="28"/>
  <c r="AP39" i="28"/>
  <c r="N40" i="28"/>
  <c r="AX40" i="28" s="1"/>
  <c r="Y40" i="28"/>
  <c r="AP40" i="28"/>
  <c r="AW40" i="28"/>
  <c r="O43" i="28"/>
  <c r="AD43" i="28"/>
  <c r="AP43" i="28"/>
  <c r="X44" i="28"/>
  <c r="AG44" i="28"/>
  <c r="AH44" i="28" s="1"/>
  <c r="AI44" i="28" s="1"/>
  <c r="AP44" i="28"/>
  <c r="X45" i="28"/>
  <c r="AN45" i="28"/>
  <c r="Y47" i="28"/>
  <c r="AJ47" i="28"/>
  <c r="AW47" i="28"/>
  <c r="O48" i="28"/>
  <c r="P48" i="28" s="1"/>
  <c r="AE48" i="28"/>
  <c r="AT48" i="28"/>
  <c r="O49" i="28"/>
  <c r="P49" i="28" s="1"/>
  <c r="AQ49" i="28"/>
  <c r="N50" i="28"/>
  <c r="AL50" i="28" s="1"/>
  <c r="X50" i="28"/>
  <c r="AH50" i="28"/>
  <c r="AN50" i="28"/>
  <c r="AW50" i="28"/>
  <c r="U51" i="28"/>
  <c r="AW51" i="28"/>
  <c r="O52" i="28"/>
  <c r="P52" i="28" s="1"/>
  <c r="AH52" i="28"/>
  <c r="AP52" i="28"/>
  <c r="O53" i="28"/>
  <c r="P53" i="28" s="1"/>
  <c r="AE53" i="28"/>
  <c r="U54" i="28"/>
  <c r="AJ54" i="28"/>
  <c r="Z32" i="28"/>
  <c r="Y39" i="28"/>
  <c r="AT39" i="28"/>
  <c r="S43" i="28"/>
  <c r="AB47" i="28"/>
  <c r="AM47" i="28"/>
  <c r="AC50" i="28"/>
  <c r="S52" i="28"/>
  <c r="AB54" i="28"/>
  <c r="AK54" i="28"/>
  <c r="AT54" i="28"/>
  <c r="AU54" i="28" s="1"/>
  <c r="AM31" i="28"/>
  <c r="U36" i="28"/>
  <c r="V36" i="28" s="1"/>
  <c r="AB36" i="28"/>
  <c r="AJ36" i="28"/>
  <c r="AK36" i="28" s="1"/>
  <c r="AE38" i="28"/>
  <c r="AF38" i="28" s="1"/>
  <c r="N39" i="28"/>
  <c r="AD39" i="28"/>
  <c r="U40" i="28"/>
  <c r="AD40" i="28"/>
  <c r="AK40" i="28"/>
  <c r="U43" i="28"/>
  <c r="AK43" i="28"/>
  <c r="AE45" i="28"/>
  <c r="O47" i="28"/>
  <c r="P47" i="28" s="1"/>
  <c r="AE47" i="28"/>
  <c r="AA48" i="28"/>
  <c r="AE49" i="28"/>
  <c r="U50" i="28"/>
  <c r="V50" i="28" s="1"/>
  <c r="AD50" i="28"/>
  <c r="AK50" i="28"/>
  <c r="AS50" i="28"/>
  <c r="AT50" i="28" s="1"/>
  <c r="AK51" i="28"/>
  <c r="X52" i="28"/>
  <c r="Y53" i="28"/>
  <c r="AQ53" i="28"/>
  <c r="N54" i="28"/>
  <c r="X54" i="28"/>
  <c r="AD54" i="28"/>
  <c r="AN54" i="28"/>
  <c r="AV54" i="28"/>
  <c r="X36" i="28"/>
  <c r="AD36" i="28"/>
  <c r="AV36" i="28"/>
  <c r="O39" i="28"/>
  <c r="AU40" i="28"/>
  <c r="X40" i="28"/>
  <c r="AG40" i="28"/>
  <c r="AN40" i="28"/>
  <c r="AV40" i="28"/>
  <c r="X47" i="28"/>
  <c r="AG47" i="28"/>
  <c r="AK49" i="28"/>
  <c r="AG50" i="28"/>
  <c r="AQ51" i="28"/>
  <c r="AD53" i="28"/>
  <c r="AT53" i="28"/>
  <c r="R54" i="28"/>
  <c r="Y54" i="28"/>
  <c r="AG54" i="28"/>
  <c r="AP54" i="28"/>
  <c r="AW54" i="28"/>
  <c r="U6" i="28"/>
  <c r="Y6" i="28"/>
  <c r="AG6" i="28"/>
  <c r="AQ6" i="28"/>
  <c r="AW6" i="28"/>
  <c r="AB8" i="28"/>
  <c r="AG8" i="28"/>
  <c r="AM8" i="28"/>
  <c r="AN8" i="28" s="1"/>
  <c r="N9" i="28"/>
  <c r="AL9" i="28" s="1"/>
  <c r="X9" i="28"/>
  <c r="AD9" i="28"/>
  <c r="AN9" i="28"/>
  <c r="AT9" i="28"/>
  <c r="AU9" i="28" s="1"/>
  <c r="O10" i="28"/>
  <c r="U10" i="28"/>
  <c r="AE10" i="28"/>
  <c r="AP10" i="28"/>
  <c r="AU11" i="28"/>
  <c r="Z11" i="28"/>
  <c r="AT12" i="28"/>
  <c r="AP12" i="28"/>
  <c r="AH12" i="28"/>
  <c r="AD12" i="28"/>
  <c r="R12" i="28"/>
  <c r="S12" i="28" s="1"/>
  <c r="N12" i="28"/>
  <c r="U12" i="28"/>
  <c r="AA12" i="28"/>
  <c r="AK12" i="28"/>
  <c r="AQ12" i="28"/>
  <c r="AV12" i="28"/>
  <c r="R13" i="28"/>
  <c r="S13" i="28" s="1"/>
  <c r="T13" i="28" s="1"/>
  <c r="AB13" i="28"/>
  <c r="AC13" i="28" s="1"/>
  <c r="AH13" i="28"/>
  <c r="AI13" i="28" s="1"/>
  <c r="AM13" i="28"/>
  <c r="AQ13" i="28" s="1"/>
  <c r="AR13" i="28" s="1"/>
  <c r="N14" i="28"/>
  <c r="AL14" i="28" s="1"/>
  <c r="Y14" i="28"/>
  <c r="AD14" i="28"/>
  <c r="AX15" i="28"/>
  <c r="AL15" i="28"/>
  <c r="Z15" i="28"/>
  <c r="O16" i="28"/>
  <c r="P16" i="28" s="1"/>
  <c r="Q16" i="28" s="1"/>
  <c r="AE16" i="28"/>
  <c r="AM16" i="28"/>
  <c r="N17" i="28"/>
  <c r="AD17" i="28"/>
  <c r="AU18" i="28"/>
  <c r="Z18" i="28"/>
  <c r="AX18" i="28"/>
  <c r="AA20" i="28"/>
  <c r="AK20" i="28"/>
  <c r="AW20" i="28"/>
  <c r="N6" i="28"/>
  <c r="AL6" i="28" s="1"/>
  <c r="R6" i="28"/>
  <c r="AD6" i="28"/>
  <c r="AH6" i="28"/>
  <c r="AM6" i="28"/>
  <c r="AS6" i="28"/>
  <c r="AC7" i="28"/>
  <c r="AX7" i="28"/>
  <c r="O9" i="28"/>
  <c r="AE9" i="28"/>
  <c r="AJ9" i="28"/>
  <c r="AP9" i="28"/>
  <c r="AV10" i="28"/>
  <c r="AN10" i="28"/>
  <c r="AJ10" i="28"/>
  <c r="AB10" i="28"/>
  <c r="X10" i="28"/>
  <c r="AA10" i="28"/>
  <c r="AG10" i="28"/>
  <c r="AQ10" i="28"/>
  <c r="AW10" i="28"/>
  <c r="O14" i="28"/>
  <c r="P14" i="28" s="1"/>
  <c r="U14" i="28"/>
  <c r="Z14" i="28"/>
  <c r="AE14" i="28"/>
  <c r="AF14" i="28" s="1"/>
  <c r="AK14" i="28"/>
  <c r="AP14" i="28"/>
  <c r="X16" i="28"/>
  <c r="AN16" i="28"/>
  <c r="AO16" i="28" s="1"/>
  <c r="AB20" i="28"/>
  <c r="AV6" i="28"/>
  <c r="AR6" i="28"/>
  <c r="AU6" i="28" s="1"/>
  <c r="AN6" i="28"/>
  <c r="AO6" i="28" s="1"/>
  <c r="AJ6" i="28"/>
  <c r="O6" i="28"/>
  <c r="AA6" i="28"/>
  <c r="AE6" i="28"/>
  <c r="AT6" i="28"/>
  <c r="AO7" i="28"/>
  <c r="AW9" i="28"/>
  <c r="AS9" i="28"/>
  <c r="AK9" i="28"/>
  <c r="AG9" i="28"/>
  <c r="AH9" i="28" s="1"/>
  <c r="Y9" i="28"/>
  <c r="U9" i="28"/>
  <c r="AA9" i="28"/>
  <c r="AF9" i="28"/>
  <c r="AQ9" i="28"/>
  <c r="AV9" i="28"/>
  <c r="AV14" i="28"/>
  <c r="AN14" i="28"/>
  <c r="AJ14" i="28"/>
  <c r="AB14" i="28"/>
  <c r="AC14" i="28" s="1"/>
  <c r="X14" i="28"/>
  <c r="Q14" i="28"/>
  <c r="AA14" i="28"/>
  <c r="AG14" i="28"/>
  <c r="AQ14" i="28"/>
  <c r="AR14" i="28" s="1"/>
  <c r="AW14" i="28"/>
  <c r="AX14" i="28" s="1"/>
  <c r="AW16" i="28"/>
  <c r="AS16" i="28"/>
  <c r="AG16" i="28"/>
  <c r="Y16" i="28"/>
  <c r="Z16" i="28" s="1"/>
  <c r="U16" i="28"/>
  <c r="AT16" i="28"/>
  <c r="AP16" i="28"/>
  <c r="AH16" i="28"/>
  <c r="AD16" i="28"/>
  <c r="R16" i="28"/>
  <c r="N16" i="28"/>
  <c r="S16" i="28"/>
  <c r="AA16" i="28"/>
  <c r="AI16" i="28"/>
  <c r="AQ16" i="28"/>
  <c r="AL18" i="28"/>
  <c r="AT20" i="28"/>
  <c r="AP20" i="28"/>
  <c r="AH20" i="28"/>
  <c r="AD20" i="28"/>
  <c r="R20" i="28"/>
  <c r="N20" i="28"/>
  <c r="AL20" i="28" s="1"/>
  <c r="AS20" i="28"/>
  <c r="X20" i="28"/>
  <c r="S20" i="28"/>
  <c r="AV20" i="28"/>
  <c r="AJ20" i="28"/>
  <c r="AN20" i="28" s="1"/>
  <c r="AE20" i="28"/>
  <c r="Y20" i="28"/>
  <c r="T20" i="28"/>
  <c r="O20" i="28"/>
  <c r="P20" i="28" s="1"/>
  <c r="U20" i="28"/>
  <c r="AQ20" i="28"/>
  <c r="X6" i="28"/>
  <c r="AK6" i="28"/>
  <c r="AP6" i="28"/>
  <c r="AU7" i="28"/>
  <c r="Z7" i="28"/>
  <c r="AT8" i="28"/>
  <c r="AP8" i="28"/>
  <c r="AH8" i="28"/>
  <c r="AD8" i="28"/>
  <c r="R8" i="28"/>
  <c r="S8" i="28" s="1"/>
  <c r="N8" i="28"/>
  <c r="AL8" i="28" s="1"/>
  <c r="P8" i="28"/>
  <c r="U8" i="28"/>
  <c r="AA8" i="28"/>
  <c r="AF8" i="28"/>
  <c r="AK8" i="28"/>
  <c r="AQ8" i="28"/>
  <c r="AV8" i="28"/>
  <c r="R9" i="28"/>
  <c r="S9" i="28" s="1"/>
  <c r="T9" i="28" s="1"/>
  <c r="AB9" i="28"/>
  <c r="AM9" i="28"/>
  <c r="AX9" i="28"/>
  <c r="N10" i="28"/>
  <c r="S10" i="28"/>
  <c r="Y10" i="28"/>
  <c r="AD10" i="28"/>
  <c r="AI10" i="28"/>
  <c r="AO10" i="28"/>
  <c r="AT10" i="28"/>
  <c r="AW13" i="28"/>
  <c r="AX13" i="28" s="1"/>
  <c r="AS13" i="28"/>
  <c r="AO13" i="28"/>
  <c r="AK13" i="28"/>
  <c r="AG13" i="28"/>
  <c r="Y13" i="28"/>
  <c r="Z13" i="28" s="1"/>
  <c r="U13" i="28"/>
  <c r="V13" i="28" s="1"/>
  <c r="W13" i="28" s="1"/>
  <c r="Q13" i="28"/>
  <c r="AA13" i="28"/>
  <c r="AF13" i="28"/>
  <c r="AL13" i="28"/>
  <c r="AV13" i="28"/>
  <c r="R14" i="28"/>
  <c r="S14" i="28" s="1"/>
  <c r="AH14" i="28"/>
  <c r="AI14" i="28" s="1"/>
  <c r="AM14" i="28"/>
  <c r="AS14" i="28"/>
  <c r="T16" i="28"/>
  <c r="AB16" i="28"/>
  <c r="AJ16" i="28"/>
  <c r="AR16" i="28"/>
  <c r="AV17" i="28"/>
  <c r="AN17" i="28"/>
  <c r="AJ17" i="28"/>
  <c r="AF17" i="28"/>
  <c r="AB17" i="28"/>
  <c r="X17" i="28"/>
  <c r="AW17" i="28"/>
  <c r="AS17" i="28"/>
  <c r="AK17" i="28"/>
  <c r="AG17" i="28"/>
  <c r="AC17" i="28"/>
  <c r="Y17" i="28"/>
  <c r="U17" i="28"/>
  <c r="V17" i="28" s="1"/>
  <c r="Q17" i="28"/>
  <c r="AA17" i="28"/>
  <c r="AG20" i="28"/>
  <c r="AU21" i="28"/>
  <c r="T21" i="28"/>
  <c r="AR21" i="28"/>
  <c r="W21" i="28"/>
  <c r="O7" i="28"/>
  <c r="P7" i="28" s="1"/>
  <c r="Q7" i="28" s="1"/>
  <c r="S7" i="28"/>
  <c r="T7" i="28" s="1"/>
  <c r="W7" i="28"/>
  <c r="AA7" i="28"/>
  <c r="AE7" i="28"/>
  <c r="AF7" i="28" s="1"/>
  <c r="AI7" i="28"/>
  <c r="AM7" i="28"/>
  <c r="AQ7" i="28"/>
  <c r="AR7" i="28" s="1"/>
  <c r="O11" i="28"/>
  <c r="P11" i="28" s="1"/>
  <c r="Q11" i="28" s="1"/>
  <c r="S11" i="28"/>
  <c r="T11" i="28" s="1"/>
  <c r="AA11" i="28"/>
  <c r="AE11" i="28"/>
  <c r="AF11" i="28" s="1"/>
  <c r="AI11" i="28"/>
  <c r="AM11" i="28"/>
  <c r="AN11" i="28" s="1"/>
  <c r="AO11" i="28" s="1"/>
  <c r="AQ11" i="28"/>
  <c r="AR11" i="28" s="1"/>
  <c r="O15" i="28"/>
  <c r="P15" i="28" s="1"/>
  <c r="Q15" i="28" s="1"/>
  <c r="W15" i="28"/>
  <c r="AA15" i="28"/>
  <c r="AE15" i="28" s="1"/>
  <c r="AF15" i="28" s="1"/>
  <c r="AI15" i="28"/>
  <c r="AM15" i="28"/>
  <c r="AQ15" i="28"/>
  <c r="AR15" i="28" s="1"/>
  <c r="X18" i="28"/>
  <c r="AB18" i="28"/>
  <c r="AC18" i="28" s="1"/>
  <c r="AJ18" i="28"/>
  <c r="AN18" i="28"/>
  <c r="AO18" i="28" s="1"/>
  <c r="AV18" i="28"/>
  <c r="AU19" i="28"/>
  <c r="AQ19" i="28"/>
  <c r="AR19" i="28" s="1"/>
  <c r="AM19" i="28"/>
  <c r="AI19" i="28"/>
  <c r="AE19" i="28"/>
  <c r="AF19" i="28" s="1"/>
  <c r="AA19" i="28"/>
  <c r="W19" i="28"/>
  <c r="S19" i="28"/>
  <c r="O19" i="28"/>
  <c r="P19" i="28" s="1"/>
  <c r="Q19" i="28" s="1"/>
  <c r="T19" i="28"/>
  <c r="Y19" i="28"/>
  <c r="Z19" i="28" s="1"/>
  <c r="AD19" i="28"/>
  <c r="AJ19" i="28"/>
  <c r="AK19" i="28" s="1"/>
  <c r="AL19" i="28" s="1"/>
  <c r="AO19" i="28"/>
  <c r="AT19" i="28"/>
  <c r="AW21" i="28"/>
  <c r="AX21" i="28" s="1"/>
  <c r="AS21" i="28"/>
  <c r="AO21" i="28"/>
  <c r="AK21" i="28"/>
  <c r="AG21" i="28"/>
  <c r="AC21" i="28"/>
  <c r="Y21" i="28"/>
  <c r="Z21" i="28" s="1"/>
  <c r="U21" i="28"/>
  <c r="V21" i="28" s="1"/>
  <c r="Q21" i="28"/>
  <c r="AA21" i="28"/>
  <c r="AF21" i="28"/>
  <c r="AL21" i="28"/>
  <c r="AV21" i="28"/>
  <c r="R22" i="28"/>
  <c r="S22" i="28" s="1"/>
  <c r="AH22" i="28"/>
  <c r="AM22" i="28"/>
  <c r="AQ22" i="28" s="1"/>
  <c r="AR22" i="28" s="1"/>
  <c r="AS22" i="28"/>
  <c r="AC23" i="28"/>
  <c r="AX23" i="28"/>
  <c r="X24" i="28"/>
  <c r="AN24" i="28"/>
  <c r="AS24" i="28"/>
  <c r="O25" i="28"/>
  <c r="P25" i="28" s="1"/>
  <c r="AE25" i="28"/>
  <c r="AJ25" i="28"/>
  <c r="AP25" i="28"/>
  <c r="AV26" i="28"/>
  <c r="AN26" i="28"/>
  <c r="AJ26" i="28"/>
  <c r="AF26" i="28"/>
  <c r="X26" i="28"/>
  <c r="T26" i="28"/>
  <c r="Q26" i="28"/>
  <c r="V26" i="28"/>
  <c r="W26" i="28" s="1"/>
  <c r="AA26" i="28"/>
  <c r="AB26" i="28" s="1"/>
  <c r="AC26" i="28" s="1"/>
  <c r="AG26" i="28"/>
  <c r="AL26" i="28"/>
  <c r="AQ26" i="28"/>
  <c r="AR26" i="28" s="1"/>
  <c r="AW26" i="28"/>
  <c r="AX26" i="28" s="1"/>
  <c r="AL27" i="28"/>
  <c r="AG28" i="28"/>
  <c r="AM28" i="28"/>
  <c r="N30" i="28"/>
  <c r="AR30" i="28" s="1"/>
  <c r="X30" i="28"/>
  <c r="AD30" i="28"/>
  <c r="AN30" i="28"/>
  <c r="AT30" i="28"/>
  <c r="O31" i="28"/>
  <c r="U31" i="28"/>
  <c r="AK31" i="28"/>
  <c r="AP31" i="28"/>
  <c r="R32" i="28"/>
  <c r="S32" i="28" s="1"/>
  <c r="AM32" i="28"/>
  <c r="AS32" i="28"/>
  <c r="AC33" i="28"/>
  <c r="AX33" i="28"/>
  <c r="X34" i="28"/>
  <c r="AP34" i="28"/>
  <c r="AV34" i="28"/>
  <c r="O35" i="28"/>
  <c r="P35" i="28" s="1"/>
  <c r="AQ35" i="28"/>
  <c r="AG37" i="28"/>
  <c r="AI38" i="28"/>
  <c r="AE41" i="28"/>
  <c r="R42" i="28"/>
  <c r="AB42" i="28"/>
  <c r="AM42" i="28"/>
  <c r="AU43" i="28"/>
  <c r="Z43" i="28"/>
  <c r="AI22" i="28"/>
  <c r="AO23" i="28"/>
  <c r="O24" i="28"/>
  <c r="P24" i="28" s="1"/>
  <c r="AE24" i="28"/>
  <c r="AJ24" i="28"/>
  <c r="AW25" i="28"/>
  <c r="AS25" i="28"/>
  <c r="AK25" i="28"/>
  <c r="AL25" i="28" s="1"/>
  <c r="AG25" i="28"/>
  <c r="Y25" i="28"/>
  <c r="U25" i="28"/>
  <c r="V25" i="28"/>
  <c r="AA25" i="28"/>
  <c r="AQ25" i="28"/>
  <c r="AV25" i="28"/>
  <c r="AC27" i="28"/>
  <c r="AX27" i="28"/>
  <c r="O30" i="28"/>
  <c r="AJ30" i="28"/>
  <c r="AP30" i="28"/>
  <c r="AV31" i="28"/>
  <c r="AN31" i="28"/>
  <c r="AJ31" i="28"/>
  <c r="X31" i="28"/>
  <c r="AA31" i="28"/>
  <c r="AB31" i="28" s="1"/>
  <c r="AG31" i="28"/>
  <c r="AQ31" i="28"/>
  <c r="AW31" i="28"/>
  <c r="AI32" i="28"/>
  <c r="AO33" i="28"/>
  <c r="O34" i="28"/>
  <c r="Y34" i="28"/>
  <c r="AE34" i="28"/>
  <c r="AJ34" i="28"/>
  <c r="AE35" i="28"/>
  <c r="AT41" i="28"/>
  <c r="AP41" i="28"/>
  <c r="AD41" i="28"/>
  <c r="R41" i="28"/>
  <c r="N41" i="28"/>
  <c r="AW41" i="28"/>
  <c r="AM41" i="28"/>
  <c r="AG41" i="28"/>
  <c r="AH41" i="28" s="1"/>
  <c r="AB41" i="28"/>
  <c r="AS41" i="28"/>
  <c r="AN41" i="28"/>
  <c r="X41" i="28"/>
  <c r="U41" i="28"/>
  <c r="AQ41" i="28"/>
  <c r="AW42" i="28"/>
  <c r="AS42" i="28"/>
  <c r="AK42" i="28"/>
  <c r="AG42" i="28"/>
  <c r="Y42" i="28"/>
  <c r="U42" i="28"/>
  <c r="AT42" i="28"/>
  <c r="AN42" i="28"/>
  <c r="AD42" i="28"/>
  <c r="X42" i="28"/>
  <c r="N42" i="28"/>
  <c r="AO42" i="28" s="1"/>
  <c r="AP42" i="28"/>
  <c r="AJ42" i="28"/>
  <c r="AE42" i="28"/>
  <c r="O42" i="28"/>
  <c r="AQ42" i="28"/>
  <c r="AT24" i="28"/>
  <c r="AP24" i="28"/>
  <c r="AH24" i="28"/>
  <c r="AD24" i="28"/>
  <c r="V24" i="28"/>
  <c r="W24" i="28" s="1"/>
  <c r="R24" i="28"/>
  <c r="N24" i="28"/>
  <c r="AI24" i="28" s="1"/>
  <c r="U24" i="28"/>
  <c r="AA24" i="28"/>
  <c r="AK24" i="28"/>
  <c r="AQ24" i="28"/>
  <c r="AV24" i="28"/>
  <c r="AI26" i="28"/>
  <c r="AO26" i="28"/>
  <c r="AO27" i="28"/>
  <c r="AW30" i="28"/>
  <c r="AS30" i="28"/>
  <c r="AK30" i="28"/>
  <c r="AG30" i="28"/>
  <c r="Y30" i="28"/>
  <c r="U30" i="28"/>
  <c r="AA30" i="28"/>
  <c r="AB30" i="28" s="1"/>
  <c r="AQ30" i="28"/>
  <c r="AV30" i="28"/>
  <c r="AW34" i="28"/>
  <c r="AS34" i="28"/>
  <c r="AK34" i="28"/>
  <c r="AL34" i="28" s="1"/>
  <c r="AX34" i="28"/>
  <c r="AM34" i="28"/>
  <c r="AD34" i="28"/>
  <c r="Z34" i="28"/>
  <c r="R34" i="28"/>
  <c r="N34" i="28"/>
  <c r="AR34" i="28" s="1"/>
  <c r="U34" i="28"/>
  <c r="AA34" i="28"/>
  <c r="AT34" i="28"/>
  <c r="AV35" i="28"/>
  <c r="AJ35" i="28"/>
  <c r="AB35" i="28"/>
  <c r="X35" i="28"/>
  <c r="AT35" i="28"/>
  <c r="AD35" i="28"/>
  <c r="Y35" i="28"/>
  <c r="N35" i="28"/>
  <c r="R35" i="28"/>
  <c r="S35" i="28" s="1"/>
  <c r="AG35" i="28"/>
  <c r="AM35" i="28"/>
  <c r="AU38" i="28"/>
  <c r="T38" i="28"/>
  <c r="AL40" i="28"/>
  <c r="AO40" i="28"/>
  <c r="O41" i="28"/>
  <c r="Y41" i="28"/>
  <c r="AJ41" i="28"/>
  <c r="AU41" i="28"/>
  <c r="Z44" i="28"/>
  <c r="AX44" i="28"/>
  <c r="AC44" i="28"/>
  <c r="AL44" i="28"/>
  <c r="AO44" i="28"/>
  <c r="O18" i="28"/>
  <c r="P18" i="28" s="1"/>
  <c r="Q18" i="28" s="1"/>
  <c r="W18" i="28"/>
  <c r="AA18" i="28"/>
  <c r="AE18" i="28"/>
  <c r="AF18" i="28" s="1"/>
  <c r="AI18" i="28"/>
  <c r="AM18" i="28"/>
  <c r="AQ18" i="28"/>
  <c r="AR18" i="28" s="1"/>
  <c r="AC19" i="28"/>
  <c r="AV22" i="28"/>
  <c r="AN22" i="28"/>
  <c r="AO22" i="28" s="1"/>
  <c r="AJ22" i="28"/>
  <c r="AF22" i="28"/>
  <c r="AB22" i="28"/>
  <c r="AC22" i="28" s="1"/>
  <c r="X22" i="28"/>
  <c r="T22" i="28"/>
  <c r="Q22" i="28"/>
  <c r="AA22" i="28"/>
  <c r="AG22" i="28"/>
  <c r="AL22" i="28"/>
  <c r="AW22" i="28"/>
  <c r="AX22" i="28" s="1"/>
  <c r="AL23" i="28"/>
  <c r="Q24" i="28"/>
  <c r="AB24" i="28"/>
  <c r="AG24" i="28"/>
  <c r="AM24" i="28"/>
  <c r="AR24" i="28"/>
  <c r="AW24" i="28"/>
  <c r="N25" i="28"/>
  <c r="X25" i="28"/>
  <c r="AD25" i="28"/>
  <c r="AI25" i="28"/>
  <c r="AN25" i="28"/>
  <c r="AT25" i="28"/>
  <c r="Z26" i="28"/>
  <c r="AU27" i="28"/>
  <c r="Z27" i="28"/>
  <c r="AT28" i="28"/>
  <c r="AP28" i="28"/>
  <c r="AH28" i="28"/>
  <c r="AD28" i="28"/>
  <c r="V28" i="28"/>
  <c r="R28" i="28"/>
  <c r="N28" i="28"/>
  <c r="Q28" i="28" s="1"/>
  <c r="U28" i="28"/>
  <c r="AA28" i="28"/>
  <c r="AB28" i="28" s="1"/>
  <c r="AK28" i="28"/>
  <c r="AQ28" i="28"/>
  <c r="AV28" i="28"/>
  <c r="AW28" i="28" s="1"/>
  <c r="R30" i="28"/>
  <c r="S30" i="28" s="1"/>
  <c r="AH30" i="28"/>
  <c r="AI30" i="28" s="1"/>
  <c r="AM30" i="28"/>
  <c r="N31" i="28"/>
  <c r="AL31" i="28" s="1"/>
  <c r="Y31" i="28"/>
  <c r="AD31" i="28"/>
  <c r="AT31" i="28"/>
  <c r="AV32" i="28"/>
  <c r="AN32" i="28"/>
  <c r="AO32" i="28" s="1"/>
  <c r="AJ32" i="28"/>
  <c r="X32" i="28"/>
  <c r="T32" i="28"/>
  <c r="Q32" i="28"/>
  <c r="V32" i="28"/>
  <c r="W32" i="28" s="1"/>
  <c r="AA32" i="28"/>
  <c r="AG32" i="28"/>
  <c r="AL32" i="28"/>
  <c r="AQ32" i="28"/>
  <c r="AR32" i="28" s="1"/>
  <c r="AW32" i="28"/>
  <c r="AX32" i="28" s="1"/>
  <c r="AL33" i="28"/>
  <c r="AB34" i="28"/>
  <c r="AG34" i="28"/>
  <c r="AH34" i="28" s="1"/>
  <c r="AN34" i="28"/>
  <c r="AU34" i="28"/>
  <c r="U35" i="28"/>
  <c r="V35" i="28" s="1"/>
  <c r="AA35" i="28"/>
  <c r="AH35" i="28"/>
  <c r="AP35" i="28"/>
  <c r="AW35" i="28"/>
  <c r="AT37" i="28"/>
  <c r="AP37" i="28"/>
  <c r="AH37" i="28"/>
  <c r="AD37" i="28"/>
  <c r="R37" i="28"/>
  <c r="N37" i="28"/>
  <c r="AS37" i="28"/>
  <c r="X37" i="28"/>
  <c r="AJ37" i="28"/>
  <c r="AK37" i="28" s="1"/>
  <c r="AE37" i="28"/>
  <c r="Y37" i="28"/>
  <c r="O37" i="28"/>
  <c r="P37" i="28" s="1"/>
  <c r="U37" i="28"/>
  <c r="V37" i="28" s="1"/>
  <c r="AQ37" i="28"/>
  <c r="P39" i="28"/>
  <c r="V39" i="28"/>
  <c r="W39" i="28" s="1"/>
  <c r="Z39" i="28"/>
  <c r="AA41" i="28"/>
  <c r="AK41" i="28"/>
  <c r="AV41" i="28"/>
  <c r="AA42" i="28"/>
  <c r="AV42" i="28"/>
  <c r="O23" i="28"/>
  <c r="P23" i="28" s="1"/>
  <c r="Q23" i="28" s="1"/>
  <c r="W23" i="28"/>
  <c r="AA23" i="28"/>
  <c r="AE23" i="28"/>
  <c r="AF23" i="28" s="1"/>
  <c r="AI23" i="28"/>
  <c r="AM23" i="28"/>
  <c r="AQ23" i="28"/>
  <c r="AR23" i="28" s="1"/>
  <c r="O27" i="28"/>
  <c r="P27" i="28" s="1"/>
  <c r="Q27" i="28" s="1"/>
  <c r="S27" i="28"/>
  <c r="T27" i="28" s="1"/>
  <c r="W27" i="28"/>
  <c r="AA27" i="28"/>
  <c r="AE27" i="28"/>
  <c r="AF27" i="28" s="1"/>
  <c r="AM27" i="28"/>
  <c r="AQ27" i="28"/>
  <c r="AR27" i="28" s="1"/>
  <c r="O33" i="28"/>
  <c r="S33" i="28" s="1"/>
  <c r="T33" i="28" s="1"/>
  <c r="AA33" i="28"/>
  <c r="AE33" i="28"/>
  <c r="AF33" i="28" s="1"/>
  <c r="AM33" i="28"/>
  <c r="AQ33" i="28"/>
  <c r="AR33" i="28" s="1"/>
  <c r="AW38" i="28"/>
  <c r="AX38" i="28" s="1"/>
  <c r="AS38" i="28"/>
  <c r="AO38" i="28"/>
  <c r="AG38" i="28"/>
  <c r="AC38" i="28"/>
  <c r="Y38" i="28"/>
  <c r="Z38" i="28" s="1"/>
  <c r="U38" i="28"/>
  <c r="V38" i="28" s="1"/>
  <c r="W38" i="28" s="1"/>
  <c r="Q38" i="28"/>
  <c r="AA38" i="28"/>
  <c r="AQ38" i="28"/>
  <c r="AR38" i="28" s="1"/>
  <c r="AV38" i="28"/>
  <c r="R39" i="28"/>
  <c r="S39" i="28" s="1"/>
  <c r="AH39" i="28"/>
  <c r="AI39" i="28" s="1"/>
  <c r="AM39" i="28"/>
  <c r="AS39" i="28"/>
  <c r="AV43" i="28"/>
  <c r="AN43" i="28"/>
  <c r="AO43" i="28" s="1"/>
  <c r="AJ43" i="28"/>
  <c r="AF43" i="28"/>
  <c r="AB43" i="28"/>
  <c r="AC43" i="28" s="1"/>
  <c r="X43" i="28"/>
  <c r="T43" i="28"/>
  <c r="AA43" i="28"/>
  <c r="AG43" i="28"/>
  <c r="AH43" i="28" s="1"/>
  <c r="AI43" i="28" s="1"/>
  <c r="AL43" i="28"/>
  <c r="AQ43" i="28"/>
  <c r="AR43" i="28" s="1"/>
  <c r="AW43" i="28"/>
  <c r="AX43" i="28" s="1"/>
  <c r="Q45" i="28"/>
  <c r="AB45" i="28"/>
  <c r="AG45" i="28"/>
  <c r="AM45" i="28"/>
  <c r="N46" i="28"/>
  <c r="Y46" i="28"/>
  <c r="AG46" i="28"/>
  <c r="AN46" i="28"/>
  <c r="AW48" i="28"/>
  <c r="AX48" i="28" s="1"/>
  <c r="AS48" i="28"/>
  <c r="AK48" i="28"/>
  <c r="AL48" i="28" s="1"/>
  <c r="AG48" i="28"/>
  <c r="Y48" i="28"/>
  <c r="U48" i="28"/>
  <c r="Q48" i="28"/>
  <c r="AR48" i="28"/>
  <c r="AM48" i="28"/>
  <c r="AN48" i="28" s="1"/>
  <c r="AO48" i="28" s="1"/>
  <c r="AH48" i="28"/>
  <c r="AI48" i="28" s="1"/>
  <c r="AB48" i="28"/>
  <c r="AC48" i="28" s="1"/>
  <c r="R48" i="28"/>
  <c r="Z48" i="28"/>
  <c r="AF48" i="28"/>
  <c r="AU48" i="28"/>
  <c r="U49" i="28"/>
  <c r="AA49" i="28"/>
  <c r="AH49" i="28"/>
  <c r="AP49" i="28"/>
  <c r="AT49" i="28" s="1"/>
  <c r="Z50" i="28"/>
  <c r="AA51" i="28"/>
  <c r="AG51" i="28"/>
  <c r="AN51" i="28"/>
  <c r="AU52" i="28"/>
  <c r="N53" i="28"/>
  <c r="AR53" i="28" s="1"/>
  <c r="U53" i="28"/>
  <c r="AA53" i="28"/>
  <c r="AP53" i="28"/>
  <c r="AX54" i="28"/>
  <c r="AO54" i="28"/>
  <c r="AC54" i="28"/>
  <c r="AL54" i="28"/>
  <c r="O46" i="28"/>
  <c r="P46" i="28" s="1"/>
  <c r="AB46" i="28"/>
  <c r="AH46" i="28"/>
  <c r="T48" i="28"/>
  <c r="T52" i="28"/>
  <c r="AI52" i="28"/>
  <c r="AM46" i="28"/>
  <c r="AE46" i="28"/>
  <c r="AF46" i="28" s="1"/>
  <c r="AA46" i="28"/>
  <c r="AV46" i="28"/>
  <c r="AP46" i="28"/>
  <c r="AQ46" i="28" s="1"/>
  <c r="AK46" i="28"/>
  <c r="Z46" i="28"/>
  <c r="U46" i="28"/>
  <c r="AJ46" i="28"/>
  <c r="AR46" i="28"/>
  <c r="AV39" i="28"/>
  <c r="AN39" i="28"/>
  <c r="AO39" i="28" s="1"/>
  <c r="AJ39" i="28"/>
  <c r="AF39" i="28"/>
  <c r="X39" i="28"/>
  <c r="T39" i="28"/>
  <c r="Q39" i="28"/>
  <c r="AA39" i="28"/>
  <c r="AB39" i="28" s="1"/>
  <c r="AC39" i="28" s="1"/>
  <c r="AG39" i="28"/>
  <c r="AL39" i="28"/>
  <c r="AQ39" i="28"/>
  <c r="AR39" i="28" s="1"/>
  <c r="AW39" i="28"/>
  <c r="AX39" i="28" s="1"/>
  <c r="AU44" i="28"/>
  <c r="AX45" i="28"/>
  <c r="AP45" i="28"/>
  <c r="AQ45" i="28" s="1"/>
  <c r="AR45" i="28" s="1"/>
  <c r="AL45" i="28"/>
  <c r="AH45" i="28"/>
  <c r="AD45" i="28"/>
  <c r="Z45" i="28"/>
  <c r="R45" i="28"/>
  <c r="S45" i="28" s="1"/>
  <c r="N45" i="28"/>
  <c r="U45" i="28"/>
  <c r="AA45" i="28"/>
  <c r="AF45" i="28"/>
  <c r="AK45" i="28"/>
  <c r="AV45" i="28"/>
  <c r="R46" i="28"/>
  <c r="S46" i="28" s="1"/>
  <c r="T46" i="28" s="1"/>
  <c r="X46" i="28"/>
  <c r="AD46" i="28"/>
  <c r="AL46" i="28"/>
  <c r="AS46" i="28"/>
  <c r="AU46" i="28" s="1"/>
  <c r="AV49" i="28"/>
  <c r="AN49" i="28"/>
  <c r="AJ49" i="28"/>
  <c r="AB49" i="28"/>
  <c r="X49" i="28"/>
  <c r="AD49" i="28"/>
  <c r="N49" i="28"/>
  <c r="AF49" i="28" s="1"/>
  <c r="R49" i="28"/>
  <c r="S49" i="28" s="1"/>
  <c r="AG49" i="28"/>
  <c r="AM49" i="28"/>
  <c r="AU50" i="28"/>
  <c r="AP51" i="28"/>
  <c r="AH51" i="28"/>
  <c r="AD51" i="28"/>
  <c r="R51" i="28"/>
  <c r="N51" i="28"/>
  <c r="AJ51" i="28"/>
  <c r="AE51" i="28"/>
  <c r="O51" i="28"/>
  <c r="P51" i="28" s="1"/>
  <c r="X51" i="28"/>
  <c r="AM51" i="28"/>
  <c r="AS51" i="28"/>
  <c r="AV53" i="28"/>
  <c r="AN53" i="28"/>
  <c r="AO53" i="28" s="1"/>
  <c r="AJ53" i="28"/>
  <c r="AF53" i="28"/>
  <c r="AB53" i="28"/>
  <c r="X53" i="28"/>
  <c r="AS53" i="28"/>
  <c r="AM53" i="28"/>
  <c r="W53" i="28"/>
  <c r="R53" i="28"/>
  <c r="S53" i="28" s="1"/>
  <c r="Z53" i="28"/>
  <c r="AG53" i="28"/>
  <c r="AH53" i="28" s="1"/>
  <c r="O36" i="28"/>
  <c r="P36" i="28" s="1"/>
  <c r="Q36" i="28" s="1"/>
  <c r="W36" i="28"/>
  <c r="AA36" i="28"/>
  <c r="AE36" i="28"/>
  <c r="AF36" i="28" s="1"/>
  <c r="AI36" i="28"/>
  <c r="AM36" i="28"/>
  <c r="AO36" i="28" s="1"/>
  <c r="AQ36" i="28"/>
  <c r="AR36" i="28" s="1"/>
  <c r="O40" i="28"/>
  <c r="AA40" i="28"/>
  <c r="AI40" i="28"/>
  <c r="AM40" i="28"/>
  <c r="AQ40" i="28"/>
  <c r="AR40" i="28" s="1"/>
  <c r="O44" i="28"/>
  <c r="AA44" i="28"/>
  <c r="AE44" i="28"/>
  <c r="AF44" i="28" s="1"/>
  <c r="AM44" i="28"/>
  <c r="AQ44" i="28"/>
  <c r="AR44" i="28" s="1"/>
  <c r="AT47" i="28"/>
  <c r="AP47" i="28"/>
  <c r="AH47" i="28"/>
  <c r="AD47" i="28"/>
  <c r="R47" i="28"/>
  <c r="N47" i="28"/>
  <c r="AL47" i="28" s="1"/>
  <c r="U47" i="28"/>
  <c r="AA47" i="28"/>
  <c r="AK47" i="28"/>
  <c r="AQ47" i="28"/>
  <c r="AV47" i="28"/>
  <c r="AW52" i="28"/>
  <c r="AX52" i="28" s="1"/>
  <c r="AS52" i="28"/>
  <c r="AO52" i="28"/>
  <c r="AK52" i="28"/>
  <c r="AL52" i="28" s="1"/>
  <c r="AG52" i="28"/>
  <c r="Y52" i="28"/>
  <c r="Z52" i="28" s="1"/>
  <c r="U52" i="28"/>
  <c r="Q52" i="28"/>
  <c r="V52" i="28"/>
  <c r="W52" i="28" s="1"/>
  <c r="AA52" i="28"/>
  <c r="AB52" i="28" s="1"/>
  <c r="AC52" i="28" s="1"/>
  <c r="AQ52" i="28"/>
  <c r="AR52" i="28" s="1"/>
  <c r="AV52" i="28"/>
  <c r="O50" i="28"/>
  <c r="P50" i="28" s="1"/>
  <c r="Q50" i="28" s="1"/>
  <c r="W50" i="28"/>
  <c r="AA50" i="28"/>
  <c r="AE50" i="28"/>
  <c r="AF50" i="28" s="1"/>
  <c r="AI50" i="28"/>
  <c r="AM50" i="28"/>
  <c r="AQ50" i="28"/>
  <c r="AR50" i="28" s="1"/>
  <c r="O54" i="28"/>
  <c r="P54" i="28" s="1"/>
  <c r="Q54" i="28" s="1"/>
  <c r="S54" i="28"/>
  <c r="T54" i="28" s="1"/>
  <c r="AA54" i="28"/>
  <c r="AE54" i="28"/>
  <c r="AF54" i="28" s="1"/>
  <c r="AM54" i="28"/>
  <c r="AQ54" i="28"/>
  <c r="AR54" i="28" s="1"/>
  <c r="AB33" i="27"/>
  <c r="AM33" i="27"/>
  <c r="AU38" i="27"/>
  <c r="AD40" i="27"/>
  <c r="AK40" i="27"/>
  <c r="AS40" i="27"/>
  <c r="AN47" i="27"/>
  <c r="AG50" i="27"/>
  <c r="AN50" i="27"/>
  <c r="AW50" i="27"/>
  <c r="X52" i="27"/>
  <c r="AN52" i="27"/>
  <c r="X32" i="27"/>
  <c r="AG32" i="27"/>
  <c r="AN32" i="27"/>
  <c r="AO32" i="27" s="1"/>
  <c r="O33" i="27"/>
  <c r="P33" i="27" s="1"/>
  <c r="AE33" i="27"/>
  <c r="AN33" i="27"/>
  <c r="AH35" i="27"/>
  <c r="AU36" i="27"/>
  <c r="X36" i="27"/>
  <c r="AC36" i="27"/>
  <c r="AJ36" i="27"/>
  <c r="AK36" i="27" s="1"/>
  <c r="AL36" i="27" s="1"/>
  <c r="AS36" i="27"/>
  <c r="AX36" i="27"/>
  <c r="O38" i="27"/>
  <c r="P38" i="27" s="1"/>
  <c r="Q38" i="27" s="1"/>
  <c r="AD38" i="27"/>
  <c r="AM38" i="27"/>
  <c r="AO38" i="27" s="1"/>
  <c r="N40" i="27"/>
  <c r="AX40" i="27" s="1"/>
  <c r="X40" i="27"/>
  <c r="AG40" i="27"/>
  <c r="AT40" i="27"/>
  <c r="X42" i="27"/>
  <c r="R43" i="27"/>
  <c r="S43" i="27" s="1"/>
  <c r="T43" i="27" s="1"/>
  <c r="AD43" i="27"/>
  <c r="AP43" i="27"/>
  <c r="U44" i="27"/>
  <c r="AB44" i="27"/>
  <c r="AJ44" i="27"/>
  <c r="Y46" i="27"/>
  <c r="AB47" i="27"/>
  <c r="AM47" i="27"/>
  <c r="AK49" i="27"/>
  <c r="N50" i="27"/>
  <c r="X50" i="27"/>
  <c r="AH50" i="27"/>
  <c r="AP50" i="27"/>
  <c r="N52" i="27"/>
  <c r="AD52" i="27"/>
  <c r="AP52" i="27"/>
  <c r="X33" i="27"/>
  <c r="AG33" i="27"/>
  <c r="AS33" i="27"/>
  <c r="AM35" i="27"/>
  <c r="R38" i="27"/>
  <c r="T38" i="27" s="1"/>
  <c r="AE38" i="27"/>
  <c r="AP38" i="27"/>
  <c r="R40" i="27"/>
  <c r="Y40" i="27"/>
  <c r="AH40" i="27"/>
  <c r="AN40" i="27"/>
  <c r="AV40" i="27"/>
  <c r="U43" i="27"/>
  <c r="AE43" i="27"/>
  <c r="AF43" i="27" s="1"/>
  <c r="X44" i="27"/>
  <c r="AD44" i="27"/>
  <c r="AH44" i="27" s="1"/>
  <c r="AI44" i="27" s="1"/>
  <c r="AK44" i="27"/>
  <c r="AT44" i="27"/>
  <c r="AU44" i="27" s="1"/>
  <c r="AD46" i="27"/>
  <c r="AS49" i="27"/>
  <c r="R50" i="27"/>
  <c r="AB50" i="27"/>
  <c r="AJ50" i="27"/>
  <c r="AS50" i="27"/>
  <c r="R52" i="27"/>
  <c r="AH52" i="27"/>
  <c r="AT52" i="27"/>
  <c r="Y33" i="27"/>
  <c r="AJ33" i="27"/>
  <c r="X38" i="27"/>
  <c r="AH38" i="27"/>
  <c r="AI38" i="27" s="1"/>
  <c r="U40" i="27"/>
  <c r="AB40" i="27"/>
  <c r="AJ40" i="27"/>
  <c r="AP40" i="27"/>
  <c r="AU42" i="27"/>
  <c r="AN42" i="27"/>
  <c r="U50" i="27"/>
  <c r="V50" i="27" s="1"/>
  <c r="AD50" i="27"/>
  <c r="AK50" i="27"/>
  <c r="AL50" i="27" s="1"/>
  <c r="AV50" i="27"/>
  <c r="V52" i="27"/>
  <c r="AJ52" i="27"/>
  <c r="AV52" i="27"/>
  <c r="AH30" i="27"/>
  <c r="AT8" i="27"/>
  <c r="AP8" i="27"/>
  <c r="AH8" i="27"/>
  <c r="AD8" i="27"/>
  <c r="R8" i="27"/>
  <c r="N8" i="27"/>
  <c r="AX8" i="27" s="1"/>
  <c r="AV8" i="27"/>
  <c r="AJ8" i="27"/>
  <c r="AB8" i="27"/>
  <c r="X8" i="27"/>
  <c r="P8" i="27"/>
  <c r="AA8" i="27"/>
  <c r="AV12" i="27"/>
  <c r="AJ12" i="27"/>
  <c r="AB12" i="27"/>
  <c r="X12" i="27"/>
  <c r="AP12" i="27"/>
  <c r="AK12" i="27"/>
  <c r="AE12" i="27"/>
  <c r="U12" i="27"/>
  <c r="O12" i="27"/>
  <c r="P12" i="27" s="1"/>
  <c r="AS12" i="27"/>
  <c r="AM12" i="27"/>
  <c r="AH12" i="27"/>
  <c r="R12" i="27"/>
  <c r="S12" i="27" s="1"/>
  <c r="AW12" i="27"/>
  <c r="AQ12" i="27"/>
  <c r="AG12" i="27"/>
  <c r="AA12" i="27"/>
  <c r="AT12" i="27"/>
  <c r="AV6" i="27"/>
  <c r="AN6" i="27"/>
  <c r="AJ6" i="27"/>
  <c r="X6" i="27"/>
  <c r="AT6" i="27"/>
  <c r="AP6" i="27"/>
  <c r="AH6" i="27"/>
  <c r="AD6" i="27"/>
  <c r="R6" i="27"/>
  <c r="N6" i="27"/>
  <c r="AF6" i="27" s="1"/>
  <c r="AA6" i="27"/>
  <c r="AB6" i="27" s="1"/>
  <c r="AQ6" i="27"/>
  <c r="U8" i="27"/>
  <c r="AK8" i="27"/>
  <c r="AS8" i="27"/>
  <c r="AU9" i="27"/>
  <c r="AV10" i="27"/>
  <c r="AN10" i="27"/>
  <c r="AJ10" i="27"/>
  <c r="AK10" i="27" s="1"/>
  <c r="AB10" i="27"/>
  <c r="X10" i="27"/>
  <c r="AT10" i="27"/>
  <c r="AP10" i="27"/>
  <c r="AH10" i="27"/>
  <c r="AD10" i="27"/>
  <c r="Z10" i="27"/>
  <c r="R10" i="27"/>
  <c r="N10" i="27"/>
  <c r="AR10" i="27" s="1"/>
  <c r="S10" i="27"/>
  <c r="T10" i="27" s="1"/>
  <c r="AA10" i="27"/>
  <c r="AQ10" i="27"/>
  <c r="N12" i="27"/>
  <c r="AD12" i="27"/>
  <c r="AQ8" i="27"/>
  <c r="Y12" i="27"/>
  <c r="U6" i="27"/>
  <c r="AK6" i="27"/>
  <c r="AS6" i="27"/>
  <c r="AU7" i="27"/>
  <c r="AX7" i="27"/>
  <c r="O8" i="27"/>
  <c r="AE8" i="27"/>
  <c r="AM8" i="27"/>
  <c r="AN8" i="27" s="1"/>
  <c r="U10" i="27"/>
  <c r="AC10" i="27"/>
  <c r="AS10" i="27"/>
  <c r="AU11" i="27"/>
  <c r="Q12" i="27"/>
  <c r="P6" i="27"/>
  <c r="V6" i="27"/>
  <c r="Y8" i="27"/>
  <c r="AG8" i="27"/>
  <c r="AW8" i="27"/>
  <c r="AO9" i="27"/>
  <c r="AC9" i="27"/>
  <c r="Z9" i="27"/>
  <c r="AL9" i="27"/>
  <c r="AX9" i="27"/>
  <c r="P10" i="27"/>
  <c r="V10" i="27"/>
  <c r="Z13" i="27"/>
  <c r="AC13" i="27"/>
  <c r="AV14" i="27"/>
  <c r="AR14" i="27"/>
  <c r="AN14" i="27"/>
  <c r="AO14" i="27" s="1"/>
  <c r="AJ14" i="27"/>
  <c r="AB14" i="27"/>
  <c r="AC14" i="27" s="1"/>
  <c r="X14" i="27"/>
  <c r="AP14" i="27"/>
  <c r="AK14" i="27"/>
  <c r="AL14" i="27" s="1"/>
  <c r="AE14" i="27"/>
  <c r="AF14" i="27" s="1"/>
  <c r="U14" i="27"/>
  <c r="O14" i="27"/>
  <c r="P14" i="27" s="1"/>
  <c r="Q14" i="27" s="1"/>
  <c r="R14" i="27"/>
  <c r="Y14" i="27"/>
  <c r="Z14" i="27" s="1"/>
  <c r="AG14" i="27"/>
  <c r="AM14" i="27"/>
  <c r="AK16" i="27"/>
  <c r="AV18" i="27"/>
  <c r="AN18" i="27"/>
  <c r="AJ18" i="27"/>
  <c r="AB18" i="27"/>
  <c r="X18" i="27"/>
  <c r="AW18" i="27"/>
  <c r="AQ18" i="27"/>
  <c r="AG18" i="27"/>
  <c r="AA18" i="27"/>
  <c r="V18" i="27"/>
  <c r="AT18" i="27"/>
  <c r="AD18" i="27"/>
  <c r="Y18" i="27"/>
  <c r="N18" i="27"/>
  <c r="AF18" i="27" s="1"/>
  <c r="R18" i="27"/>
  <c r="S18" i="27" s="1"/>
  <c r="AM18" i="27"/>
  <c r="AO22" i="27"/>
  <c r="AW25" i="27"/>
  <c r="AS25" i="27"/>
  <c r="AK25" i="27"/>
  <c r="AG25" i="27"/>
  <c r="Y25" i="27"/>
  <c r="U25" i="27"/>
  <c r="AM25" i="27"/>
  <c r="AH25" i="27"/>
  <c r="R25" i="27"/>
  <c r="AP25" i="27"/>
  <c r="AJ25" i="27"/>
  <c r="AE25" i="27"/>
  <c r="O25" i="27"/>
  <c r="P25" i="27" s="1"/>
  <c r="V25" i="27"/>
  <c r="AQ25" i="27"/>
  <c r="AA28" i="27"/>
  <c r="AK28" i="27"/>
  <c r="AV28" i="27"/>
  <c r="V30" i="27"/>
  <c r="P30" i="27"/>
  <c r="U7" i="27"/>
  <c r="V7" i="27" s="1"/>
  <c r="W7" i="27" s="1"/>
  <c r="Y7" i="27"/>
  <c r="Z7" i="27" s="1"/>
  <c r="AC7" i="27"/>
  <c r="AG7" i="27"/>
  <c r="AK7" i="27" s="1"/>
  <c r="AL7" i="27" s="1"/>
  <c r="AO7" i="27"/>
  <c r="AS7" i="27"/>
  <c r="O9" i="27"/>
  <c r="AA9" i="27"/>
  <c r="AE9" i="27"/>
  <c r="AF9" i="27" s="1"/>
  <c r="AI9" i="27"/>
  <c r="AM9" i="27"/>
  <c r="AQ9" i="27"/>
  <c r="AR9" i="27" s="1"/>
  <c r="U11" i="27"/>
  <c r="V11" i="27" s="1"/>
  <c r="W11" i="27" s="1"/>
  <c r="Y11" i="27"/>
  <c r="Z11" i="27" s="1"/>
  <c r="AC11" i="27"/>
  <c r="AG11" i="27"/>
  <c r="AK11" i="27"/>
  <c r="AL11" i="27" s="1"/>
  <c r="AS11" i="27"/>
  <c r="AW11" i="27"/>
  <c r="AX11" i="27" s="1"/>
  <c r="AA14" i="27"/>
  <c r="AH14" i="27"/>
  <c r="AI14" i="27" s="1"/>
  <c r="AW14" i="27"/>
  <c r="AX14" i="27" s="1"/>
  <c r="AW17" i="27"/>
  <c r="AX17" i="27" s="1"/>
  <c r="AS17" i="27"/>
  <c r="AK17" i="27"/>
  <c r="AL17" i="27" s="1"/>
  <c r="AG17" i="27"/>
  <c r="Y17" i="27"/>
  <c r="Z17" i="27" s="1"/>
  <c r="U17" i="27"/>
  <c r="Q17" i="27"/>
  <c r="AM17" i="27"/>
  <c r="AQ17" i="27" s="1"/>
  <c r="AR17" i="27" s="1"/>
  <c r="AH17" i="27"/>
  <c r="AI17" i="27" s="1"/>
  <c r="AB17" i="27"/>
  <c r="AC17" i="27" s="1"/>
  <c r="R17" i="27"/>
  <c r="S17" i="27" s="1"/>
  <c r="AF17" i="27"/>
  <c r="AN17" i="27"/>
  <c r="AO17" i="27" s="1"/>
  <c r="AU17" i="27"/>
  <c r="U18" i="27"/>
  <c r="AE18" i="27"/>
  <c r="AP18" i="27"/>
  <c r="AA20" i="27"/>
  <c r="AK20" i="27"/>
  <c r="AI21" i="27"/>
  <c r="AV22" i="27"/>
  <c r="AN22" i="27"/>
  <c r="AJ22" i="27"/>
  <c r="AF22" i="27"/>
  <c r="AB22" i="27"/>
  <c r="AC22" i="27" s="1"/>
  <c r="X22" i="27"/>
  <c r="AU22" i="27"/>
  <c r="AP22" i="27"/>
  <c r="AK22" i="27"/>
  <c r="AL22" i="27" s="1"/>
  <c r="AE22" i="27"/>
  <c r="Z22" i="27"/>
  <c r="U22" i="27"/>
  <c r="O22" i="27"/>
  <c r="P22" i="27" s="1"/>
  <c r="Q22" i="27" s="1"/>
  <c r="AX22" i="27"/>
  <c r="AS22" i="27"/>
  <c r="AM22" i="27"/>
  <c r="AH22" i="27"/>
  <c r="AI22" i="27" s="1"/>
  <c r="R22" i="27"/>
  <c r="AG22" i="27"/>
  <c r="AL23" i="27"/>
  <c r="N25" i="27"/>
  <c r="AL25" i="27" s="1"/>
  <c r="X25" i="27"/>
  <c r="AB25" i="27" s="1"/>
  <c r="AT25" i="27"/>
  <c r="S28" i="27"/>
  <c r="S30" i="27"/>
  <c r="AA31" i="27"/>
  <c r="AX32" i="27"/>
  <c r="AL32" i="27"/>
  <c r="Z32" i="27"/>
  <c r="T17" i="27"/>
  <c r="AT28" i="27"/>
  <c r="AP28" i="27"/>
  <c r="AL28" i="27"/>
  <c r="AH28" i="27"/>
  <c r="AD28" i="27"/>
  <c r="V28" i="27"/>
  <c r="R28" i="27"/>
  <c r="N28" i="27"/>
  <c r="AJ28" i="27"/>
  <c r="AE28" i="27"/>
  <c r="AF28" i="27" s="1"/>
  <c r="Y28" i="27"/>
  <c r="O28" i="27"/>
  <c r="P28" i="27" s="1"/>
  <c r="AM28" i="27"/>
  <c r="AG28" i="27"/>
  <c r="U28" i="27"/>
  <c r="AQ28" i="27"/>
  <c r="AR28" i="27" s="1"/>
  <c r="AW34" i="27"/>
  <c r="AS34" i="27"/>
  <c r="AG34" i="27"/>
  <c r="Y34" i="27"/>
  <c r="U34" i="27"/>
  <c r="AP34" i="27"/>
  <c r="AJ34" i="27"/>
  <c r="AL34" i="27" s="1"/>
  <c r="AE34" i="27"/>
  <c r="O34" i="27"/>
  <c r="AT34" i="27"/>
  <c r="AN34" i="27"/>
  <c r="AD34" i="27"/>
  <c r="X34" i="27"/>
  <c r="N34" i="27"/>
  <c r="AX34" i="27"/>
  <c r="AR34" i="27"/>
  <c r="AM34" i="27"/>
  <c r="AB34" i="27"/>
  <c r="R34" i="27"/>
  <c r="S34" i="27" s="1"/>
  <c r="T34" i="27" s="1"/>
  <c r="AV34" i="27"/>
  <c r="AA34" i="27"/>
  <c r="O7" i="27"/>
  <c r="P7" i="27" s="1"/>
  <c r="Q7" i="27" s="1"/>
  <c r="S7" i="27"/>
  <c r="T7" i="27" s="1"/>
  <c r="AA7" i="27"/>
  <c r="AE7" i="27"/>
  <c r="AF7" i="27" s="1"/>
  <c r="AI7" i="27"/>
  <c r="AM7" i="27"/>
  <c r="AQ7" i="27"/>
  <c r="AR7" i="27" s="1"/>
  <c r="O11" i="27"/>
  <c r="P11" i="27" s="1"/>
  <c r="Q11" i="27" s="1"/>
  <c r="S11" i="27"/>
  <c r="T11" i="27" s="1"/>
  <c r="AA11" i="27"/>
  <c r="AE11" i="27"/>
  <c r="AF11" i="27" s="1"/>
  <c r="AI11" i="27"/>
  <c r="AM11" i="27"/>
  <c r="AN11" i="27" s="1"/>
  <c r="AO11" i="27" s="1"/>
  <c r="AQ11" i="27"/>
  <c r="AR11" i="27" s="1"/>
  <c r="AD14" i="27"/>
  <c r="AS14" i="27"/>
  <c r="AT14" i="27" s="1"/>
  <c r="AU14" i="27" s="1"/>
  <c r="Z15" i="27"/>
  <c r="AX15" i="27"/>
  <c r="Q18" i="27"/>
  <c r="Z18" i="27"/>
  <c r="AK18" i="27"/>
  <c r="V19" i="27"/>
  <c r="W19" i="27" s="1"/>
  <c r="AT20" i="27"/>
  <c r="AU20" i="27" s="1"/>
  <c r="AP20" i="27"/>
  <c r="AH20" i="27"/>
  <c r="AD20" i="27"/>
  <c r="R20" i="27"/>
  <c r="N20" i="27"/>
  <c r="AW20" i="27"/>
  <c r="AM20" i="27"/>
  <c r="AN20" i="27" s="1"/>
  <c r="AG20" i="27"/>
  <c r="AB20" i="27"/>
  <c r="AJ20" i="27"/>
  <c r="AE20" i="27"/>
  <c r="Y20" i="27"/>
  <c r="O20" i="27"/>
  <c r="P20" i="27" s="1"/>
  <c r="U20" i="27"/>
  <c r="AF20" i="27"/>
  <c r="AQ20" i="27"/>
  <c r="S21" i="27"/>
  <c r="T21" i="27" s="1"/>
  <c r="Z23" i="27"/>
  <c r="AX23" i="27"/>
  <c r="AC23" i="27"/>
  <c r="AO23" i="27"/>
  <c r="AD25" i="27"/>
  <c r="AN25" i="27"/>
  <c r="AO27" i="27"/>
  <c r="X28" i="27"/>
  <c r="AS28" i="27"/>
  <c r="AQ31" i="27"/>
  <c r="AR31" i="27" s="1"/>
  <c r="AM31" i="27"/>
  <c r="AV31" i="27"/>
  <c r="AP31" i="27"/>
  <c r="AT31" i="27"/>
  <c r="AU31" i="27" s="1"/>
  <c r="AJ31" i="27"/>
  <c r="X31" i="27"/>
  <c r="AN31" i="27"/>
  <c r="AO31" i="27" s="1"/>
  <c r="AH31" i="27"/>
  <c r="AI31" i="27" s="1"/>
  <c r="R31" i="27"/>
  <c r="AS31" i="27"/>
  <c r="AK31" i="27"/>
  <c r="AL31" i="27" s="1"/>
  <c r="Z31" i="27"/>
  <c r="U31" i="27"/>
  <c r="O31" i="27"/>
  <c r="AG31" i="27"/>
  <c r="AW31" i="27"/>
  <c r="AX31" i="27" s="1"/>
  <c r="AW13" i="27"/>
  <c r="AX13" i="27" s="1"/>
  <c r="AS13" i="27"/>
  <c r="AK13" i="27"/>
  <c r="AL13" i="27" s="1"/>
  <c r="O13" i="27"/>
  <c r="P13" i="27" s="1"/>
  <c r="Q13" i="27" s="1"/>
  <c r="AA13" i="27"/>
  <c r="AE13" i="27"/>
  <c r="AF13" i="27" s="1"/>
  <c r="AI13" i="27"/>
  <c r="AN13" i="27"/>
  <c r="AO13" i="27" s="1"/>
  <c r="AT13" i="27"/>
  <c r="AU13" i="27" s="1"/>
  <c r="AU15" i="27"/>
  <c r="AT16" i="27"/>
  <c r="AP16" i="27"/>
  <c r="AH16" i="27"/>
  <c r="AD16" i="27"/>
  <c r="R16" i="27"/>
  <c r="N16" i="27"/>
  <c r="Z16" i="27" s="1"/>
  <c r="U16" i="27"/>
  <c r="AA16" i="27"/>
  <c r="AQ16" i="27"/>
  <c r="AV16" i="27"/>
  <c r="AW21" i="27"/>
  <c r="AX21" i="27" s="1"/>
  <c r="AS21" i="27"/>
  <c r="AO21" i="27"/>
  <c r="AK21" i="27"/>
  <c r="AG21" i="27"/>
  <c r="AC21" i="27"/>
  <c r="Y21" i="27"/>
  <c r="Z21" i="27" s="1"/>
  <c r="U21" i="27"/>
  <c r="V21" i="27" s="1"/>
  <c r="W21" i="27" s="1"/>
  <c r="Q21" i="27"/>
  <c r="AA21" i="27"/>
  <c r="AF21" i="27"/>
  <c r="AL21" i="27"/>
  <c r="AV21" i="27"/>
  <c r="X24" i="27"/>
  <c r="AN24" i="27"/>
  <c r="AV26" i="27"/>
  <c r="AN26" i="27"/>
  <c r="AO26" i="27" s="1"/>
  <c r="AJ26" i="27"/>
  <c r="AF26" i="27"/>
  <c r="X26" i="27"/>
  <c r="T26" i="27"/>
  <c r="Q26" i="27"/>
  <c r="V26" i="27"/>
  <c r="W26" i="27" s="1"/>
  <c r="AA26" i="27"/>
  <c r="AB26" i="27" s="1"/>
  <c r="AC26" i="27" s="1"/>
  <c r="AG26" i="27"/>
  <c r="AL26" i="27"/>
  <c r="AQ26" i="27"/>
  <c r="AR26" i="27" s="1"/>
  <c r="AW26" i="27"/>
  <c r="AX26" i="27" s="1"/>
  <c r="AL27" i="27"/>
  <c r="N30" i="27"/>
  <c r="AO30" i="27" s="1"/>
  <c r="X30" i="27"/>
  <c r="AD30" i="27"/>
  <c r="AN30" i="27"/>
  <c r="V36" i="27"/>
  <c r="AU23" i="27"/>
  <c r="Q25" i="27"/>
  <c r="AT24" i="27"/>
  <c r="AP24" i="27"/>
  <c r="AL24" i="27"/>
  <c r="AH24" i="27"/>
  <c r="AD24" i="27"/>
  <c r="V24" i="27"/>
  <c r="R24" i="27"/>
  <c r="S24" i="27" s="1"/>
  <c r="N24" i="27"/>
  <c r="AC24" i="27" s="1"/>
  <c r="U24" i="27"/>
  <c r="AA24" i="27"/>
  <c r="AF24" i="27"/>
  <c r="AK24" i="27"/>
  <c r="AQ24" i="27"/>
  <c r="AV24" i="27"/>
  <c r="AI26" i="27"/>
  <c r="AW30" i="27"/>
  <c r="AS30" i="27"/>
  <c r="AK30" i="27"/>
  <c r="AG30" i="27"/>
  <c r="Y30" i="27"/>
  <c r="U30" i="27"/>
  <c r="AA30" i="27"/>
  <c r="AB30" i="27" s="1"/>
  <c r="AQ30" i="27"/>
  <c r="AV30" i="27"/>
  <c r="V33" i="27"/>
  <c r="O15" i="27"/>
  <c r="P15" i="27" s="1"/>
  <c r="Q15" i="27" s="1"/>
  <c r="W15" i="27"/>
  <c r="AA15" i="27"/>
  <c r="AE15" i="27" s="1"/>
  <c r="AF15" i="27" s="1"/>
  <c r="AI15" i="27"/>
  <c r="AM15" i="27"/>
  <c r="AQ15" i="27"/>
  <c r="AR15" i="27" s="1"/>
  <c r="O19" i="27"/>
  <c r="P19" i="27" s="1"/>
  <c r="Q19" i="27" s="1"/>
  <c r="S19" i="27"/>
  <c r="T19" i="27" s="1"/>
  <c r="AA19" i="27"/>
  <c r="AE19" i="27"/>
  <c r="AF19" i="27" s="1"/>
  <c r="AI19" i="27"/>
  <c r="AM19" i="27"/>
  <c r="AQ19" i="27"/>
  <c r="AR19" i="27" s="1"/>
  <c r="O23" i="27"/>
  <c r="P23" i="27" s="1"/>
  <c r="Q23" i="27" s="1"/>
  <c r="W23" i="27"/>
  <c r="AA23" i="27"/>
  <c r="AE23" i="27"/>
  <c r="AF23" i="27" s="1"/>
  <c r="AI23" i="27"/>
  <c r="AM23" i="27"/>
  <c r="AQ23" i="27"/>
  <c r="AR23" i="27" s="1"/>
  <c r="O27" i="27"/>
  <c r="P27" i="27" s="1"/>
  <c r="Q27" i="27" s="1"/>
  <c r="S27" i="27"/>
  <c r="T27" i="27" s="1"/>
  <c r="W27" i="27"/>
  <c r="AA27" i="27"/>
  <c r="AE27" i="27"/>
  <c r="AF27" i="27" s="1"/>
  <c r="AI27" i="27"/>
  <c r="AM27" i="27"/>
  <c r="AQ27" i="27"/>
  <c r="AR27" i="27" s="1"/>
  <c r="AU32" i="27"/>
  <c r="AT33" i="27"/>
  <c r="AP33" i="27"/>
  <c r="AD33" i="27"/>
  <c r="AH33" i="27" s="1"/>
  <c r="R33" i="27"/>
  <c r="N33" i="27"/>
  <c r="Z33" i="27" s="1"/>
  <c r="U33" i="27"/>
  <c r="AA33" i="27"/>
  <c r="AK33" i="27"/>
  <c r="AQ33" i="27"/>
  <c r="AV33" i="27"/>
  <c r="N35" i="27"/>
  <c r="AF35" i="27" s="1"/>
  <c r="Y35" i="27"/>
  <c r="AD35" i="27"/>
  <c r="AT35" i="27"/>
  <c r="O37" i="27"/>
  <c r="P37" i="27" s="1"/>
  <c r="Y37" i="27"/>
  <c r="AE37" i="27"/>
  <c r="AJ37" i="27"/>
  <c r="AW38" i="27"/>
  <c r="AX38" i="27" s="1"/>
  <c r="AS38" i="27"/>
  <c r="AG38" i="27"/>
  <c r="AK38" i="27" s="1"/>
  <c r="AC38" i="27"/>
  <c r="Y38" i="27"/>
  <c r="Z38" i="27" s="1"/>
  <c r="U38" i="27"/>
  <c r="AA38" i="27"/>
  <c r="AF38" i="27"/>
  <c r="AL38" i="27"/>
  <c r="AQ38" i="27"/>
  <c r="AR38" i="27" s="1"/>
  <c r="AV38" i="27"/>
  <c r="R39" i="27"/>
  <c r="AH39" i="27"/>
  <c r="AM39" i="27"/>
  <c r="AS39" i="27"/>
  <c r="AC40" i="27"/>
  <c r="X41" i="27"/>
  <c r="AN41" i="27"/>
  <c r="AS41" i="27"/>
  <c r="O42" i="27"/>
  <c r="AE42" i="27"/>
  <c r="AF42" i="27" s="1"/>
  <c r="AJ42" i="27"/>
  <c r="AP42" i="27"/>
  <c r="AV43" i="27"/>
  <c r="AR43" i="27"/>
  <c r="AN43" i="27"/>
  <c r="AO43" i="27" s="1"/>
  <c r="AJ43" i="27"/>
  <c r="AB43" i="27"/>
  <c r="AC43" i="27" s="1"/>
  <c r="X43" i="27"/>
  <c r="AA43" i="27"/>
  <c r="AG43" i="27"/>
  <c r="AL43" i="27"/>
  <c r="AQ43" i="27"/>
  <c r="AW43" i="27"/>
  <c r="AX43" i="27" s="1"/>
  <c r="AL44" i="27"/>
  <c r="AB45" i="27"/>
  <c r="AG45" i="27"/>
  <c r="AN45" i="27"/>
  <c r="AW45" i="27"/>
  <c r="O35" i="27"/>
  <c r="P35" i="27" s="1"/>
  <c r="U35" i="27"/>
  <c r="V35" i="27" s="1"/>
  <c r="AE35" i="27"/>
  <c r="AP35" i="27"/>
  <c r="AT37" i="27"/>
  <c r="AP37" i="27"/>
  <c r="AH37" i="27"/>
  <c r="AD37" i="27"/>
  <c r="R37" i="27"/>
  <c r="N37" i="27"/>
  <c r="U37" i="27"/>
  <c r="AA37" i="27"/>
  <c r="AQ37" i="27"/>
  <c r="AV37" i="27"/>
  <c r="N39" i="27"/>
  <c r="Y39" i="27"/>
  <c r="AD39" i="27"/>
  <c r="AT39" i="27"/>
  <c r="AO40" i="27"/>
  <c r="O41" i="27"/>
  <c r="Y41" i="27"/>
  <c r="AE41" i="27"/>
  <c r="AJ41" i="27"/>
  <c r="AW42" i="27"/>
  <c r="AX42" i="27" s="1"/>
  <c r="AS42" i="27"/>
  <c r="AO42" i="27"/>
  <c r="AK42" i="27"/>
  <c r="AG42" i="27"/>
  <c r="AH42" i="27" s="1"/>
  <c r="AI42" i="27" s="1"/>
  <c r="Y42" i="27"/>
  <c r="Z42" i="27" s="1"/>
  <c r="U42" i="27"/>
  <c r="AA42" i="27"/>
  <c r="AL42" i="27"/>
  <c r="AQ42" i="27"/>
  <c r="AR42" i="27" s="1"/>
  <c r="AV42" i="27"/>
  <c r="AC44" i="27"/>
  <c r="AX44" i="27"/>
  <c r="X45" i="27"/>
  <c r="AQ48" i="27"/>
  <c r="AV35" i="27"/>
  <c r="AB35" i="27"/>
  <c r="X35" i="27"/>
  <c r="AA35" i="27"/>
  <c r="AG35" i="27"/>
  <c r="AK35" i="27" s="1"/>
  <c r="AQ35" i="27"/>
  <c r="AW35" i="27"/>
  <c r="AB37" i="27"/>
  <c r="AG37" i="27"/>
  <c r="AM37" i="27"/>
  <c r="AW37" i="27"/>
  <c r="O39" i="27"/>
  <c r="U39" i="27"/>
  <c r="AK39" i="27"/>
  <c r="AP39" i="27"/>
  <c r="AU40" i="27"/>
  <c r="AT41" i="27"/>
  <c r="AP41" i="27"/>
  <c r="AD41" i="27"/>
  <c r="AH41" i="27" s="1"/>
  <c r="R41" i="27"/>
  <c r="N41" i="27"/>
  <c r="AC41" i="27" s="1"/>
  <c r="U41" i="27"/>
  <c r="AA41" i="27"/>
  <c r="AK41" i="27"/>
  <c r="AQ41" i="27"/>
  <c r="AV41" i="27"/>
  <c r="R42" i="27"/>
  <c r="AB42" i="27"/>
  <c r="AC42" i="27" s="1"/>
  <c r="AM42" i="27"/>
  <c r="O45" i="27"/>
  <c r="P45" i="27" s="1"/>
  <c r="T45" i="27"/>
  <c r="Y45" i="27"/>
  <c r="AE45" i="27"/>
  <c r="AJ45" i="27"/>
  <c r="AA48" i="27"/>
  <c r="AV39" i="27"/>
  <c r="AN39" i="27"/>
  <c r="AJ39" i="27"/>
  <c r="AB39" i="27"/>
  <c r="X39" i="27"/>
  <c r="AA39" i="27"/>
  <c r="AG39" i="27"/>
  <c r="AQ39" i="27"/>
  <c r="AW39" i="27"/>
  <c r="AV45" i="27"/>
  <c r="AM45" i="27"/>
  <c r="AP45" i="27"/>
  <c r="AH45" i="27"/>
  <c r="AD45" i="27"/>
  <c r="Z45" i="27"/>
  <c r="R45" i="27"/>
  <c r="S45" i="27" s="1"/>
  <c r="N45" i="27"/>
  <c r="U45" i="27"/>
  <c r="AA45" i="27"/>
  <c r="AK45" i="27"/>
  <c r="AS45" i="27"/>
  <c r="AW48" i="27"/>
  <c r="AS48" i="27"/>
  <c r="AK48" i="27"/>
  <c r="AG48" i="27"/>
  <c r="Y48" i="27"/>
  <c r="U48" i="27"/>
  <c r="AP48" i="27"/>
  <c r="AJ48" i="27"/>
  <c r="AE48" i="27"/>
  <c r="O48" i="27"/>
  <c r="P48" i="27" s="1"/>
  <c r="AT48" i="27"/>
  <c r="AD48" i="27"/>
  <c r="X48" i="27"/>
  <c r="N48" i="27"/>
  <c r="Q48" i="27" s="1"/>
  <c r="AM48" i="27"/>
  <c r="AN48" i="27" s="1"/>
  <c r="AH48" i="27"/>
  <c r="AB48" i="27"/>
  <c r="R48" i="27"/>
  <c r="S48" i="27" s="1"/>
  <c r="O32" i="27"/>
  <c r="AA32" i="27"/>
  <c r="AI32" i="27"/>
  <c r="AM32" i="27"/>
  <c r="AQ32" i="27"/>
  <c r="AR32" i="27" s="1"/>
  <c r="O36" i="27"/>
  <c r="P36" i="27" s="1"/>
  <c r="Q36" i="27" s="1"/>
  <c r="W36" i="27"/>
  <c r="AA36" i="27"/>
  <c r="AE36" i="27"/>
  <c r="AF36" i="27" s="1"/>
  <c r="AI36" i="27"/>
  <c r="AM36" i="27"/>
  <c r="AO36" i="27" s="1"/>
  <c r="AQ36" i="27"/>
  <c r="AR36" i="27" s="1"/>
  <c r="O40" i="27"/>
  <c r="AA40" i="27"/>
  <c r="AF40" i="27" s="1"/>
  <c r="AI40" i="27"/>
  <c r="AM40" i="27"/>
  <c r="AQ40" i="27"/>
  <c r="AR40" i="27" s="1"/>
  <c r="O44" i="27"/>
  <c r="AA44" i="27"/>
  <c r="AE44" i="27"/>
  <c r="AF44" i="27" s="1"/>
  <c r="AM44" i="27"/>
  <c r="AQ44" i="27"/>
  <c r="AR44" i="27" s="1"/>
  <c r="U46" i="27"/>
  <c r="AK46" i="27"/>
  <c r="AP46" i="27"/>
  <c r="AV46" i="27"/>
  <c r="AT47" i="27"/>
  <c r="AP47" i="27"/>
  <c r="AH47" i="27"/>
  <c r="AD47" i="27"/>
  <c r="R47" i="27"/>
  <c r="S47" i="27" s="1"/>
  <c r="N47" i="27"/>
  <c r="Z47" i="27" s="1"/>
  <c r="U47" i="27"/>
  <c r="AA47" i="27"/>
  <c r="AK47" i="27"/>
  <c r="AQ47" i="27"/>
  <c r="AV47" i="27"/>
  <c r="N49" i="27"/>
  <c r="AX49" i="27" s="1"/>
  <c r="AE49" i="27"/>
  <c r="AM49" i="27"/>
  <c r="N46" i="27"/>
  <c r="R46" i="27"/>
  <c r="AB46" i="27"/>
  <c r="AG46" i="27"/>
  <c r="O49" i="27"/>
  <c r="P49" i="27" s="1"/>
  <c r="U49" i="27"/>
  <c r="V49" i="27" s="1"/>
  <c r="AG49" i="27"/>
  <c r="AX50" i="27"/>
  <c r="AO50" i="27"/>
  <c r="AC50" i="27"/>
  <c r="AM46" i="27"/>
  <c r="AE46" i="27"/>
  <c r="AA46" i="27"/>
  <c r="O46" i="27"/>
  <c r="P46" i="27" s="1"/>
  <c r="X46" i="27"/>
  <c r="AH46" i="27"/>
  <c r="AN46" i="27"/>
  <c r="AS46" i="27"/>
  <c r="AP49" i="27"/>
  <c r="AL49" i="27"/>
  <c r="AH49" i="27"/>
  <c r="AD49" i="27"/>
  <c r="AV49" i="27"/>
  <c r="AN49" i="27"/>
  <c r="AJ49" i="27"/>
  <c r="AB49" i="27"/>
  <c r="X49" i="27"/>
  <c r="Q49" i="27"/>
  <c r="AA49" i="27"/>
  <c r="AQ49" i="27"/>
  <c r="O50" i="27"/>
  <c r="P50" i="27" s="1"/>
  <c r="Q50" i="27" s="1"/>
  <c r="W50" i="27"/>
  <c r="AA50" i="27"/>
  <c r="AE50" i="27"/>
  <c r="AF50" i="27" s="1"/>
  <c r="AI50" i="27"/>
  <c r="AM50" i="27"/>
  <c r="AQ50" i="27"/>
  <c r="AR50" i="27" s="1"/>
  <c r="N51" i="27"/>
  <c r="R51" i="27"/>
  <c r="AD51" i="27"/>
  <c r="AH51" i="27"/>
  <c r="AL51" i="27"/>
  <c r="AP51" i="27"/>
  <c r="AX51" i="27"/>
  <c r="U52" i="27"/>
  <c r="Y52" i="27"/>
  <c r="Z52" i="27" s="1"/>
  <c r="AG52" i="27"/>
  <c r="AK52" i="27"/>
  <c r="AL52" i="27" s="1"/>
  <c r="AS52" i="27"/>
  <c r="AW52" i="27"/>
  <c r="AX52" i="27" s="1"/>
  <c r="X53" i="27"/>
  <c r="AB53" i="27"/>
  <c r="AJ53" i="27"/>
  <c r="AN53" i="27"/>
  <c r="AV53" i="27"/>
  <c r="O54" i="27"/>
  <c r="P54" i="27" s="1"/>
  <c r="Q54" i="27" s="1"/>
  <c r="S54" i="27"/>
  <c r="T54" i="27" s="1"/>
  <c r="W54" i="27"/>
  <c r="AA54" i="27"/>
  <c r="AE54" i="27"/>
  <c r="AF54" i="27" s="1"/>
  <c r="AI54" i="27"/>
  <c r="AM54" i="27"/>
  <c r="AQ54" i="27"/>
  <c r="O51" i="27"/>
  <c r="P51" i="27" s="1"/>
  <c r="Q51" i="27" s="1"/>
  <c r="AA51" i="27"/>
  <c r="AE51" i="27"/>
  <c r="AF51" i="27" s="1"/>
  <c r="AI51" i="27"/>
  <c r="AM51" i="27"/>
  <c r="AQ51" i="27"/>
  <c r="U53" i="27"/>
  <c r="Y53" i="27"/>
  <c r="AG53" i="27"/>
  <c r="AK53" i="27"/>
  <c r="AO53" i="27"/>
  <c r="AS53" i="27"/>
  <c r="AW53" i="27"/>
  <c r="AR54" i="27"/>
  <c r="X51" i="27"/>
  <c r="AJ51" i="27"/>
  <c r="AN51" i="27"/>
  <c r="AO51" i="27" s="1"/>
  <c r="AR51" i="27"/>
  <c r="AV51" i="27"/>
  <c r="O52" i="27"/>
  <c r="P52" i="27" s="1"/>
  <c r="Q52" i="27" s="1"/>
  <c r="W52" i="27"/>
  <c r="AA52" i="27"/>
  <c r="AB52" i="27" s="1"/>
  <c r="AC52" i="27" s="1"/>
  <c r="AI52" i="27"/>
  <c r="AM52" i="27"/>
  <c r="AQ52" i="27"/>
  <c r="AR52" i="27" s="1"/>
  <c r="N53" i="27"/>
  <c r="R53" i="27"/>
  <c r="V53" i="27"/>
  <c r="AD53" i="27"/>
  <c r="AP53" i="27"/>
  <c r="AT53" i="27"/>
  <c r="AU53" i="27" s="1"/>
  <c r="AC54" i="27"/>
  <c r="AO54" i="27"/>
  <c r="U51" i="27"/>
  <c r="V51" i="27" s="1"/>
  <c r="W51" i="27" s="1"/>
  <c r="AG51" i="27"/>
  <c r="AK51" i="27"/>
  <c r="AS51" i="27"/>
  <c r="O53" i="27"/>
  <c r="P53" i="27" s="1"/>
  <c r="AA53" i="27"/>
  <c r="AE53" i="27"/>
  <c r="AM53" i="27"/>
  <c r="AQ53" i="27"/>
  <c r="Z54" i="27"/>
  <c r="AL54" i="27"/>
  <c r="S54" i="26"/>
  <c r="V53" i="26"/>
  <c r="AB53" i="26"/>
  <c r="AJ53" i="26"/>
  <c r="AN53" i="26"/>
  <c r="X53" i="26"/>
  <c r="AW52" i="26"/>
  <c r="AS52" i="26"/>
  <c r="N32" i="26"/>
  <c r="AX32" i="26" s="1"/>
  <c r="AP32" i="26"/>
  <c r="U33" i="26"/>
  <c r="AS33" i="26"/>
  <c r="N34" i="26"/>
  <c r="Z34" i="26" s="1"/>
  <c r="AJ34" i="26"/>
  <c r="AW34" i="26"/>
  <c r="AD36" i="26"/>
  <c r="U37" i="26"/>
  <c r="V37" i="26" s="1"/>
  <c r="AS37" i="26"/>
  <c r="N38" i="26"/>
  <c r="Z38" i="26" s="1"/>
  <c r="AB38" i="26"/>
  <c r="U40" i="26"/>
  <c r="AS40" i="26"/>
  <c r="X41" i="26"/>
  <c r="AV41" i="26"/>
  <c r="AM42" i="26"/>
  <c r="R43" i="26"/>
  <c r="AT43" i="26"/>
  <c r="AW44" i="26"/>
  <c r="AB45" i="26"/>
  <c r="N47" i="26"/>
  <c r="AK47" i="26"/>
  <c r="AL47" i="26" s="1"/>
  <c r="AB48" i="26"/>
  <c r="AW48" i="26"/>
  <c r="AB49" i="26"/>
  <c r="R51" i="26"/>
  <c r="AK51" i="26"/>
  <c r="R32" i="26"/>
  <c r="AT32" i="26"/>
  <c r="AW33" i="26"/>
  <c r="R34" i="26"/>
  <c r="AB34" i="26"/>
  <c r="AH36" i="26"/>
  <c r="AW37" i="26"/>
  <c r="R38" i="26"/>
  <c r="V38" i="26" s="1"/>
  <c r="AG38" i="26"/>
  <c r="AS38" i="26"/>
  <c r="AW40" i="26"/>
  <c r="AB41" i="26"/>
  <c r="AD43" i="26"/>
  <c r="AG44" i="26"/>
  <c r="AJ45" i="26"/>
  <c r="R47" i="26"/>
  <c r="V47" i="26" s="1"/>
  <c r="W47" i="26" s="1"/>
  <c r="AD47" i="26"/>
  <c r="AG48" i="26"/>
  <c r="AJ49" i="26"/>
  <c r="U51" i="26"/>
  <c r="AD51" i="26"/>
  <c r="AD32" i="26"/>
  <c r="AS34" i="26"/>
  <c r="AV38" i="26"/>
  <c r="AN45" i="26"/>
  <c r="AN49" i="26"/>
  <c r="V51" i="26"/>
  <c r="AG51" i="26"/>
  <c r="AP51" i="26"/>
  <c r="AK33" i="26"/>
  <c r="X34" i="26"/>
  <c r="AG34" i="26"/>
  <c r="AH34" i="26" s="1"/>
  <c r="X38" i="26"/>
  <c r="AK38" i="26"/>
  <c r="N43" i="26"/>
  <c r="AX43" i="26" s="1"/>
  <c r="AP43" i="26"/>
  <c r="U44" i="26"/>
  <c r="AS44" i="26"/>
  <c r="X45" i="26"/>
  <c r="AH47" i="26"/>
  <c r="AT47" i="26"/>
  <c r="X49" i="26"/>
  <c r="N51" i="26"/>
  <c r="AH51" i="26"/>
  <c r="AS51" i="26"/>
  <c r="AT51" i="26" s="1"/>
  <c r="X30" i="26"/>
  <c r="AV30" i="26"/>
  <c r="AB30" i="26"/>
  <c r="AJ30" i="26"/>
  <c r="AD7" i="26"/>
  <c r="U8" i="26"/>
  <c r="AH8" i="26"/>
  <c r="AT8" i="26"/>
  <c r="N9" i="26"/>
  <c r="AL9" i="26" s="1"/>
  <c r="Y9" i="26"/>
  <c r="AJ9" i="26"/>
  <c r="AV9" i="26"/>
  <c r="AD11" i="26"/>
  <c r="U12" i="26"/>
  <c r="AH12" i="26"/>
  <c r="AT12" i="26"/>
  <c r="N13" i="26"/>
  <c r="Z13" i="26" s="1"/>
  <c r="AB13" i="26"/>
  <c r="AN13" i="26"/>
  <c r="N15" i="26"/>
  <c r="AS16" i="26"/>
  <c r="X17" i="26"/>
  <c r="AV17" i="26"/>
  <c r="AH19" i="26"/>
  <c r="AK20" i="26"/>
  <c r="O22" i="26"/>
  <c r="P22" i="26" s="1"/>
  <c r="N23" i="26"/>
  <c r="AX23" i="26" s="1"/>
  <c r="AH23" i="26"/>
  <c r="AK24" i="26"/>
  <c r="AD27" i="26"/>
  <c r="AW28" i="26"/>
  <c r="AK28" i="26"/>
  <c r="AH7" i="26"/>
  <c r="Y8" i="26"/>
  <c r="AK8" i="26"/>
  <c r="AW8" i="26"/>
  <c r="AC9" i="26"/>
  <c r="AH11" i="26"/>
  <c r="Y12" i="26"/>
  <c r="AK12" i="26"/>
  <c r="AW12" i="26"/>
  <c r="AS24" i="26"/>
  <c r="AP27" i="26"/>
  <c r="N7" i="26"/>
  <c r="AF7" i="26" s="1"/>
  <c r="AP7" i="26"/>
  <c r="N8" i="26"/>
  <c r="AX8" i="26" s="1"/>
  <c r="AD8" i="26"/>
  <c r="AP8" i="26"/>
  <c r="U9" i="26"/>
  <c r="AD9" i="26"/>
  <c r="AN9" i="26"/>
  <c r="N11" i="26"/>
  <c r="AI11" i="26" s="1"/>
  <c r="AP11" i="26"/>
  <c r="N12" i="26"/>
  <c r="AD12" i="26"/>
  <c r="AP12" i="26"/>
  <c r="X13" i="26"/>
  <c r="AJ13" i="26"/>
  <c r="AV13" i="26"/>
  <c r="AJ17" i="26"/>
  <c r="V23" i="26"/>
  <c r="AT23" i="26"/>
  <c r="U24" i="26"/>
  <c r="AW24" i="26"/>
  <c r="N27" i="26"/>
  <c r="AX27" i="26" s="1"/>
  <c r="AT27" i="26"/>
  <c r="R7" i="26"/>
  <c r="AT7" i="26"/>
  <c r="AW7" i="26" s="1"/>
  <c r="R8" i="26"/>
  <c r="AG8" i="26"/>
  <c r="AS8" i="26"/>
  <c r="X9" i="26"/>
  <c r="AG9" i="26"/>
  <c r="R11" i="26"/>
  <c r="AT11" i="26"/>
  <c r="R12" i="26"/>
  <c r="AG12" i="26"/>
  <c r="AS12" i="26"/>
  <c r="Y13" i="26"/>
  <c r="AK13" i="26"/>
  <c r="AD23" i="26"/>
  <c r="AG24" i="26"/>
  <c r="R27" i="26"/>
  <c r="AX7" i="26"/>
  <c r="AX11" i="26"/>
  <c r="O6" i="26"/>
  <c r="AA6" i="26"/>
  <c r="AE6" i="26"/>
  <c r="AM6" i="26"/>
  <c r="AQ6" i="26"/>
  <c r="O10" i="26"/>
  <c r="S10" i="26"/>
  <c r="AA10" i="26"/>
  <c r="AE10" i="26"/>
  <c r="AM10" i="26"/>
  <c r="AQ10" i="26"/>
  <c r="O14" i="26"/>
  <c r="P14" i="26" s="1"/>
  <c r="AA14" i="26"/>
  <c r="AE14" i="26"/>
  <c r="AM14" i="26"/>
  <c r="AQ14" i="26"/>
  <c r="AT18" i="26"/>
  <c r="AP18" i="26"/>
  <c r="AD18" i="26"/>
  <c r="V18" i="26"/>
  <c r="R18" i="26"/>
  <c r="N18" i="26"/>
  <c r="AW18" i="26"/>
  <c r="AS18" i="26"/>
  <c r="AK18" i="26"/>
  <c r="AG18" i="26"/>
  <c r="Y18" i="26"/>
  <c r="U18" i="26"/>
  <c r="AV18" i="26"/>
  <c r="AN18" i="26"/>
  <c r="AJ18" i="26"/>
  <c r="AB18" i="26"/>
  <c r="X18" i="26"/>
  <c r="AA18" i="26"/>
  <c r="AQ18" i="26"/>
  <c r="X6" i="26"/>
  <c r="AJ6" i="26"/>
  <c r="AN6" i="26"/>
  <c r="AV6" i="26"/>
  <c r="O7" i="26"/>
  <c r="P7" i="26" s="1"/>
  <c r="Q7" i="26" s="1"/>
  <c r="S7" i="26"/>
  <c r="AA7" i="26"/>
  <c r="AE7" i="26"/>
  <c r="AI7" i="26"/>
  <c r="AM7" i="26"/>
  <c r="AQ7" i="26"/>
  <c r="AU7" i="26"/>
  <c r="Z8" i="26"/>
  <c r="X10" i="26"/>
  <c r="AB10" i="26"/>
  <c r="AJ10" i="26"/>
  <c r="AN10" i="26"/>
  <c r="AV10" i="26"/>
  <c r="O11" i="26"/>
  <c r="P11" i="26" s="1"/>
  <c r="S11" i="26"/>
  <c r="AA11" i="26"/>
  <c r="AE11" i="26"/>
  <c r="AF11" i="26" s="1"/>
  <c r="AM11" i="26"/>
  <c r="AQ11" i="26"/>
  <c r="Z12" i="26"/>
  <c r="X14" i="26"/>
  <c r="AB14" i="26"/>
  <c r="AJ14" i="26"/>
  <c r="AN14" i="26"/>
  <c r="AV14" i="26"/>
  <c r="AW15" i="26"/>
  <c r="AS15" i="26"/>
  <c r="AK15" i="26"/>
  <c r="AL15" i="26" s="1"/>
  <c r="AG15" i="26"/>
  <c r="AC15" i="26"/>
  <c r="Y15" i="26"/>
  <c r="Z15" i="26" s="1"/>
  <c r="U15" i="26"/>
  <c r="AV15" i="26"/>
  <c r="AN15" i="26"/>
  <c r="AO15" i="26" s="1"/>
  <c r="AJ15" i="26"/>
  <c r="AQ15" i="26"/>
  <c r="AR15" i="26" s="1"/>
  <c r="AM15" i="26"/>
  <c r="AA15" i="26"/>
  <c r="O15" i="26"/>
  <c r="P15" i="26" s="1"/>
  <c r="Q15" i="26" s="1"/>
  <c r="V15" i="26"/>
  <c r="AD15" i="26"/>
  <c r="AT15" i="26"/>
  <c r="AU15" i="26" s="1"/>
  <c r="O18" i="26"/>
  <c r="P18" i="26" s="1"/>
  <c r="AE18" i="26"/>
  <c r="AX19" i="26"/>
  <c r="AW31" i="26"/>
  <c r="AS31" i="26"/>
  <c r="AG31" i="26"/>
  <c r="U31" i="26"/>
  <c r="AV31" i="26"/>
  <c r="AD31" i="26"/>
  <c r="X31" i="26"/>
  <c r="N31" i="26"/>
  <c r="AT31" i="26"/>
  <c r="AM31" i="26"/>
  <c r="AB31" i="26"/>
  <c r="R31" i="26"/>
  <c r="AA31" i="26"/>
  <c r="U6" i="26"/>
  <c r="Y6" i="26"/>
  <c r="AG6" i="26"/>
  <c r="AK6" i="26"/>
  <c r="AS6" i="26"/>
  <c r="AW6" i="26"/>
  <c r="T7" i="26"/>
  <c r="X7" i="26"/>
  <c r="AB7" i="26"/>
  <c r="AJ7" i="26"/>
  <c r="AN7" i="26"/>
  <c r="AR7" i="26"/>
  <c r="AV7" i="26"/>
  <c r="O8" i="26"/>
  <c r="S8" i="26" s="1"/>
  <c r="T8" i="26" s="1"/>
  <c r="AA8" i="26"/>
  <c r="AE8" i="26"/>
  <c r="AM8" i="26"/>
  <c r="AQ8" i="26"/>
  <c r="AR8" i="26" s="1"/>
  <c r="AU8" i="26"/>
  <c r="AP9" i="26"/>
  <c r="AT9" i="26"/>
  <c r="AU9" i="26" s="1"/>
  <c r="AX9" i="26"/>
  <c r="U10" i="26"/>
  <c r="Y10" i="26"/>
  <c r="AG10" i="26"/>
  <c r="AS10" i="26"/>
  <c r="AW10" i="26"/>
  <c r="T11" i="26"/>
  <c r="X11" i="26"/>
  <c r="AB11" i="26"/>
  <c r="AC11" i="26" s="1"/>
  <c r="AJ11" i="26"/>
  <c r="AR11" i="26"/>
  <c r="AV11" i="26"/>
  <c r="O12" i="26"/>
  <c r="P12" i="26" s="1"/>
  <c r="Q12" i="26" s="1"/>
  <c r="AA12" i="26"/>
  <c r="AE12" i="26"/>
  <c r="AI12" i="26"/>
  <c r="AM12" i="26"/>
  <c r="AQ12" i="26"/>
  <c r="AR12" i="26" s="1"/>
  <c r="AU12" i="26"/>
  <c r="R13" i="26"/>
  <c r="V13" i="26" s="1"/>
  <c r="W13" i="26" s="1"/>
  <c r="AD13" i="26"/>
  <c r="AH13" i="26"/>
  <c r="AI13" i="26" s="1"/>
  <c r="AL13" i="26"/>
  <c r="AP13" i="26"/>
  <c r="AT13" i="26"/>
  <c r="AU13" i="26" s="1"/>
  <c r="AX13" i="26"/>
  <c r="U14" i="26"/>
  <c r="Y14" i="26"/>
  <c r="AG14" i="26"/>
  <c r="AK14" i="26"/>
  <c r="AS14" i="26"/>
  <c r="AW14" i="26"/>
  <c r="X15" i="26"/>
  <c r="AH15" i="26"/>
  <c r="AI15" i="26" s="1"/>
  <c r="AX15" i="26"/>
  <c r="AT26" i="26"/>
  <c r="AP26" i="26"/>
  <c r="AH26" i="26"/>
  <c r="AD26" i="26"/>
  <c r="V26" i="26"/>
  <c r="R26" i="26"/>
  <c r="N26" i="26"/>
  <c r="AW26" i="26"/>
  <c r="AS26" i="26"/>
  <c r="AK26" i="26"/>
  <c r="AG26" i="26"/>
  <c r="Y26" i="26"/>
  <c r="U26" i="26"/>
  <c r="AV26" i="26"/>
  <c r="AN26" i="26"/>
  <c r="AJ26" i="26"/>
  <c r="X26" i="26"/>
  <c r="AA26" i="26"/>
  <c r="AB26" i="26" s="1"/>
  <c r="AQ26" i="26"/>
  <c r="O31" i="26"/>
  <c r="AJ31" i="26"/>
  <c r="N6" i="26"/>
  <c r="AF6" i="26" s="1"/>
  <c r="R6" i="26"/>
  <c r="AD6" i="26"/>
  <c r="AH6" i="26"/>
  <c r="AL6" i="26"/>
  <c r="AP6" i="26"/>
  <c r="AT6" i="26"/>
  <c r="U7" i="26"/>
  <c r="V7" i="26" s="1"/>
  <c r="W7" i="26" s="1"/>
  <c r="Y7" i="26"/>
  <c r="Z7" i="26" s="1"/>
  <c r="AC7" i="26"/>
  <c r="AG7" i="26"/>
  <c r="AO7" i="26"/>
  <c r="P8" i="26"/>
  <c r="Q8" i="26" s="1"/>
  <c r="X8" i="26"/>
  <c r="AB8" i="26"/>
  <c r="AC8" i="26" s="1"/>
  <c r="AF8" i="26"/>
  <c r="AJ8" i="26"/>
  <c r="O9" i="26"/>
  <c r="AA9" i="26"/>
  <c r="AE9" i="26"/>
  <c r="AF9" i="26" s="1"/>
  <c r="AM9" i="26"/>
  <c r="AQ9" i="26"/>
  <c r="AR9" i="26" s="1"/>
  <c r="N10" i="26"/>
  <c r="R10" i="26"/>
  <c r="AD10" i="26"/>
  <c r="AH10" i="26"/>
  <c r="AP10" i="26"/>
  <c r="AT10" i="26"/>
  <c r="U11" i="26"/>
  <c r="V11" i="26" s="1"/>
  <c r="W11" i="26" s="1"/>
  <c r="Y11" i="26"/>
  <c r="Z11" i="26" s="1"/>
  <c r="AG11" i="26"/>
  <c r="AK11" i="26"/>
  <c r="AL11" i="26" s="1"/>
  <c r="AS11" i="26"/>
  <c r="X12" i="26"/>
  <c r="AB12" i="26"/>
  <c r="AC12" i="26" s="1"/>
  <c r="AF12" i="26"/>
  <c r="AJ12" i="26"/>
  <c r="O13" i="26"/>
  <c r="P13" i="26" s="1"/>
  <c r="Q13" i="26" s="1"/>
  <c r="AA13" i="26"/>
  <c r="AE13" i="26"/>
  <c r="AF13" i="26" s="1"/>
  <c r="AM13" i="26"/>
  <c r="N14" i="26"/>
  <c r="AR14" i="26" s="1"/>
  <c r="R14" i="26"/>
  <c r="S14" i="26" s="1"/>
  <c r="AD14" i="26"/>
  <c r="AH14" i="26"/>
  <c r="AL14" i="26"/>
  <c r="AP14" i="26"/>
  <c r="R15" i="26"/>
  <c r="S15" i="26" s="1"/>
  <c r="T15" i="26" s="1"/>
  <c r="W18" i="26"/>
  <c r="AM18" i="26"/>
  <c r="AT22" i="26"/>
  <c r="AP22" i="26"/>
  <c r="AQ22" i="26" s="1"/>
  <c r="AH22" i="26"/>
  <c r="AD22" i="26"/>
  <c r="R22" i="26"/>
  <c r="S22" i="26" s="1"/>
  <c r="N22" i="26"/>
  <c r="AW22" i="26"/>
  <c r="AS22" i="26"/>
  <c r="AK22" i="26"/>
  <c r="AG22" i="26"/>
  <c r="Y22" i="26"/>
  <c r="U22" i="26"/>
  <c r="Q22" i="26"/>
  <c r="AV22" i="26"/>
  <c r="AN22" i="26"/>
  <c r="AJ22" i="26"/>
  <c r="AB22" i="26"/>
  <c r="X22" i="26"/>
  <c r="AA22" i="26"/>
  <c r="O26" i="26"/>
  <c r="P26" i="26" s="1"/>
  <c r="Q26" i="26" s="1"/>
  <c r="AE26" i="26"/>
  <c r="AP31" i="26"/>
  <c r="N16" i="26"/>
  <c r="AX16" i="26" s="1"/>
  <c r="R16" i="26"/>
  <c r="V16" i="26" s="1"/>
  <c r="AD16" i="26"/>
  <c r="AH16" i="26"/>
  <c r="AP16" i="26"/>
  <c r="AT16" i="26"/>
  <c r="U17" i="26"/>
  <c r="Y17" i="26"/>
  <c r="AG17" i="26"/>
  <c r="AK17" i="26"/>
  <c r="AL17" i="26" s="1"/>
  <c r="AS17" i="26"/>
  <c r="AW17" i="26"/>
  <c r="O19" i="26"/>
  <c r="P19" i="26" s="1"/>
  <c r="S19" i="26"/>
  <c r="T19" i="26" s="1"/>
  <c r="AA19" i="26"/>
  <c r="AE19" i="26"/>
  <c r="AI19" i="26"/>
  <c r="AM19" i="26"/>
  <c r="AQ19" i="26"/>
  <c r="AR19" i="26" s="1"/>
  <c r="AU19" i="26"/>
  <c r="N20" i="26"/>
  <c r="AX20" i="26" s="1"/>
  <c r="R20" i="26"/>
  <c r="V20" i="26" s="1"/>
  <c r="W20" i="26" s="1"/>
  <c r="AD20" i="26"/>
  <c r="AH20" i="26"/>
  <c r="AL20" i="26"/>
  <c r="AP20" i="26"/>
  <c r="AT20" i="26"/>
  <c r="U21" i="26"/>
  <c r="Y21" i="26"/>
  <c r="AG21" i="26"/>
  <c r="AK21" i="26"/>
  <c r="AS21" i="26"/>
  <c r="AW21" i="26"/>
  <c r="O23" i="26"/>
  <c r="P23" i="26" s="1"/>
  <c r="W23" i="26"/>
  <c r="AA23" i="26"/>
  <c r="AE23" i="26"/>
  <c r="AF23" i="26" s="1"/>
  <c r="AI23" i="26"/>
  <c r="AM23" i="26"/>
  <c r="AQ23" i="26"/>
  <c r="AR23" i="26" s="1"/>
  <c r="AU23" i="26"/>
  <c r="N24" i="26"/>
  <c r="Z24" i="26" s="1"/>
  <c r="R24" i="26"/>
  <c r="V24" i="26"/>
  <c r="AD24" i="26"/>
  <c r="AH24" i="26"/>
  <c r="AP24" i="26"/>
  <c r="AT24" i="26"/>
  <c r="AX24" i="26"/>
  <c r="U25" i="26"/>
  <c r="Y25" i="26"/>
  <c r="AG25" i="26"/>
  <c r="AK25" i="26"/>
  <c r="AS25" i="26"/>
  <c r="AW25" i="26"/>
  <c r="O27" i="26"/>
  <c r="P27" i="26" s="1"/>
  <c r="S27" i="26"/>
  <c r="AA27" i="26"/>
  <c r="AE27" i="26"/>
  <c r="AF27" i="26" s="1"/>
  <c r="AM27" i="26"/>
  <c r="AQ27" i="26"/>
  <c r="AU27" i="26"/>
  <c r="N28" i="26"/>
  <c r="R28" i="26"/>
  <c r="V28" i="26"/>
  <c r="Z28" i="26"/>
  <c r="AD28" i="26"/>
  <c r="AH28" i="26"/>
  <c r="AL28" i="26"/>
  <c r="AP28" i="26"/>
  <c r="AT28" i="26"/>
  <c r="AX28" i="26"/>
  <c r="U30" i="26"/>
  <c r="Y30" i="26"/>
  <c r="AG30" i="26"/>
  <c r="AK30" i="26"/>
  <c r="AS30" i="26"/>
  <c r="AW30" i="26"/>
  <c r="AT35" i="26"/>
  <c r="AP35" i="26"/>
  <c r="AH35" i="26"/>
  <c r="AD35" i="26"/>
  <c r="R35" i="26"/>
  <c r="N35" i="26"/>
  <c r="AL35" i="26" s="1"/>
  <c r="AW35" i="26"/>
  <c r="AS35" i="26"/>
  <c r="AK35" i="26"/>
  <c r="AG35" i="26"/>
  <c r="U35" i="26"/>
  <c r="AV35" i="26"/>
  <c r="AJ35" i="26"/>
  <c r="AN35" i="26" s="1"/>
  <c r="AB35" i="26"/>
  <c r="X35" i="26"/>
  <c r="AA35" i="26"/>
  <c r="AW39" i="26"/>
  <c r="AS39" i="26"/>
  <c r="AK39" i="26"/>
  <c r="AV39" i="26"/>
  <c r="AM39" i="26"/>
  <c r="AT39" i="26"/>
  <c r="AJ39" i="26"/>
  <c r="AD39" i="26"/>
  <c r="R39" i="26"/>
  <c r="N39" i="26"/>
  <c r="AR39" i="26" s="1"/>
  <c r="AP39" i="26"/>
  <c r="AH39" i="26"/>
  <c r="U39" i="26"/>
  <c r="AN39" i="26"/>
  <c r="AO39" i="26" s="1"/>
  <c r="AG39" i="26"/>
  <c r="AB39" i="26"/>
  <c r="X39" i="26"/>
  <c r="AA39" i="26"/>
  <c r="O16" i="26"/>
  <c r="P16" i="26" s="1"/>
  <c r="S16" i="26"/>
  <c r="AA16" i="26"/>
  <c r="AE16" i="26"/>
  <c r="AM16" i="26"/>
  <c r="AQ16" i="26"/>
  <c r="N17" i="26"/>
  <c r="AC17" i="26" s="1"/>
  <c r="R17" i="26"/>
  <c r="AD17" i="26"/>
  <c r="AH17" i="26"/>
  <c r="AI17" i="26" s="1"/>
  <c r="AP17" i="26"/>
  <c r="AT17" i="26"/>
  <c r="AX17" i="26"/>
  <c r="X19" i="26"/>
  <c r="AB19" i="26"/>
  <c r="AF19" i="26"/>
  <c r="AJ19" i="26"/>
  <c r="AN19" i="26"/>
  <c r="AV19" i="26"/>
  <c r="O20" i="26"/>
  <c r="P20" i="26" s="1"/>
  <c r="S20" i="26"/>
  <c r="AA20" i="26"/>
  <c r="AE20" i="26"/>
  <c r="AF20" i="26" s="1"/>
  <c r="AM20" i="26"/>
  <c r="AQ20" i="26"/>
  <c r="AR20" i="26" s="1"/>
  <c r="N21" i="26"/>
  <c r="Z21" i="26" s="1"/>
  <c r="R21" i="26"/>
  <c r="AD21" i="26"/>
  <c r="AH21" i="26"/>
  <c r="AL21" i="26"/>
  <c r="AP21" i="26"/>
  <c r="AT21" i="26"/>
  <c r="X23" i="26"/>
  <c r="AB23" i="26"/>
  <c r="AC23" i="26" s="1"/>
  <c r="AJ23" i="26"/>
  <c r="AN23" i="26"/>
  <c r="AV23" i="26"/>
  <c r="O24" i="26"/>
  <c r="P24" i="26" s="1"/>
  <c r="W24" i="26"/>
  <c r="AA24" i="26"/>
  <c r="AE24" i="26"/>
  <c r="AI24" i="26"/>
  <c r="AM24" i="26"/>
  <c r="AQ24" i="26"/>
  <c r="AU24" i="26"/>
  <c r="N25" i="26"/>
  <c r="AX25" i="26" s="1"/>
  <c r="R25" i="26"/>
  <c r="V25" i="26"/>
  <c r="AD25" i="26"/>
  <c r="AH25" i="26"/>
  <c r="AP25" i="26"/>
  <c r="AT25" i="26"/>
  <c r="T27" i="26"/>
  <c r="X27" i="26"/>
  <c r="AB27" i="26"/>
  <c r="AJ27" i="26"/>
  <c r="AN27" i="26"/>
  <c r="AR27" i="26"/>
  <c r="AV27" i="26"/>
  <c r="O28" i="26"/>
  <c r="P28" i="26" s="1"/>
  <c r="S28" i="26"/>
  <c r="T28" i="26" s="1"/>
  <c r="W28" i="26"/>
  <c r="AA28" i="26"/>
  <c r="AE28" i="26"/>
  <c r="AF28" i="26" s="1"/>
  <c r="AI28" i="26"/>
  <c r="AM28" i="26"/>
  <c r="AQ28" i="26"/>
  <c r="AU28" i="26"/>
  <c r="N30" i="26"/>
  <c r="AC30" i="26" s="1"/>
  <c r="R30" i="26"/>
  <c r="AD30" i="26"/>
  <c r="AH30" i="26"/>
  <c r="AP30" i="26"/>
  <c r="AT30" i="26"/>
  <c r="O35" i="26"/>
  <c r="P35" i="26" s="1"/>
  <c r="AE35" i="26"/>
  <c r="AU35" i="26"/>
  <c r="AX36" i="26"/>
  <c r="O39" i="26"/>
  <c r="X16" i="26"/>
  <c r="AB16" i="26"/>
  <c r="AJ16" i="26"/>
  <c r="AK16" i="26" s="1"/>
  <c r="AN16" i="26"/>
  <c r="O17" i="26"/>
  <c r="P17" i="26" s="1"/>
  <c r="AA17" i="26"/>
  <c r="AE17" i="26"/>
  <c r="AM17" i="26"/>
  <c r="Q19" i="26"/>
  <c r="U19" i="26"/>
  <c r="V19" i="26" s="1"/>
  <c r="W19" i="26" s="1"/>
  <c r="Y19" i="26"/>
  <c r="Z19" i="26" s="1"/>
  <c r="AC19" i="26"/>
  <c r="AG19" i="26"/>
  <c r="AO19" i="26"/>
  <c r="AS19" i="26"/>
  <c r="T20" i="26"/>
  <c r="X20" i="26"/>
  <c r="AB20" i="26"/>
  <c r="AJ20" i="26"/>
  <c r="O21" i="26"/>
  <c r="P21" i="26" s="1"/>
  <c r="Q21" i="26" s="1"/>
  <c r="AA21" i="26"/>
  <c r="AE21" i="26"/>
  <c r="AM21" i="26"/>
  <c r="Q23" i="26"/>
  <c r="U23" i="26"/>
  <c r="AG23" i="26"/>
  <c r="AK23" i="26"/>
  <c r="AL23" i="26" s="1"/>
  <c r="AO23" i="26"/>
  <c r="AS23" i="26"/>
  <c r="X24" i="26"/>
  <c r="Y24" i="26" s="1"/>
  <c r="AB24" i="26"/>
  <c r="AF24" i="26"/>
  <c r="AJ24" i="26"/>
  <c r="AN24" i="26"/>
  <c r="AR24" i="26"/>
  <c r="O25" i="26"/>
  <c r="P25" i="26" s="1"/>
  <c r="Q25" i="26" s="1"/>
  <c r="AA25" i="26"/>
  <c r="AB25" i="26" s="1"/>
  <c r="AE25" i="26"/>
  <c r="AM25" i="26"/>
  <c r="AQ25" i="26"/>
  <c r="Q27" i="26"/>
  <c r="U27" i="26"/>
  <c r="V27" i="26" s="1"/>
  <c r="W27" i="26" s="1"/>
  <c r="Y27" i="26"/>
  <c r="Z27" i="26" s="1"/>
  <c r="AC27" i="26"/>
  <c r="AG27" i="26"/>
  <c r="AH27" i="26" s="1"/>
  <c r="AI27" i="26" s="1"/>
  <c r="AK27" i="26"/>
  <c r="AL27" i="26" s="1"/>
  <c r="AO27" i="26"/>
  <c r="AS27" i="26"/>
  <c r="X28" i="26"/>
  <c r="AJ28" i="26"/>
  <c r="AN28" i="26"/>
  <c r="AR28" i="26"/>
  <c r="O30" i="26"/>
  <c r="AA30" i="26"/>
  <c r="AI30" i="26"/>
  <c r="AM30" i="26"/>
  <c r="AQ30" i="26"/>
  <c r="AL39" i="26"/>
  <c r="O32" i="26"/>
  <c r="AA32" i="26"/>
  <c r="AI32" i="26"/>
  <c r="AM32" i="26"/>
  <c r="AR32" i="26" s="1"/>
  <c r="AU32" i="26"/>
  <c r="N33" i="26"/>
  <c r="AU33" i="26" s="1"/>
  <c r="R33" i="26"/>
  <c r="AD33" i="26"/>
  <c r="AH33" i="26" s="1"/>
  <c r="AI33" i="26" s="1"/>
  <c r="AL33" i="26"/>
  <c r="AP33" i="26"/>
  <c r="AT33" i="26"/>
  <c r="AX33" i="26"/>
  <c r="AC34" i="26"/>
  <c r="AO34" i="26"/>
  <c r="O36" i="26"/>
  <c r="P36" i="26" s="1"/>
  <c r="AA36" i="26"/>
  <c r="AE36" i="26"/>
  <c r="AF36" i="26" s="1"/>
  <c r="AI36" i="26"/>
  <c r="AM36" i="26"/>
  <c r="AU36" i="26"/>
  <c r="Z37" i="26"/>
  <c r="AD37" i="26"/>
  <c r="AH37" i="26"/>
  <c r="AL37" i="26"/>
  <c r="AP37" i="26"/>
  <c r="AT37" i="26"/>
  <c r="AU37" i="26" s="1"/>
  <c r="AX37" i="26"/>
  <c r="AO38" i="26"/>
  <c r="AS46" i="26"/>
  <c r="AT46" i="26" s="1"/>
  <c r="AK46" i="26"/>
  <c r="AG46" i="26"/>
  <c r="AV46" i="26"/>
  <c r="AN46" i="26"/>
  <c r="AJ46" i="26"/>
  <c r="AB46" i="26"/>
  <c r="X46" i="26"/>
  <c r="AD46" i="26"/>
  <c r="R46" i="26"/>
  <c r="N46" i="26"/>
  <c r="AQ46" i="26"/>
  <c r="AA46" i="26"/>
  <c r="U46" i="26"/>
  <c r="V46" i="26" s="1"/>
  <c r="AP46" i="26"/>
  <c r="AH46" i="26"/>
  <c r="AE46" i="26"/>
  <c r="X32" i="26"/>
  <c r="AB32" i="26"/>
  <c r="AJ32" i="26"/>
  <c r="AV32" i="26"/>
  <c r="O33" i="26"/>
  <c r="V33" i="26" s="1"/>
  <c r="AA33" i="26"/>
  <c r="AE33" i="26"/>
  <c r="AF33" i="26" s="1"/>
  <c r="AM33" i="26"/>
  <c r="AP34" i="26"/>
  <c r="AT34" i="26"/>
  <c r="AU34" i="26" s="1"/>
  <c r="AX34" i="26"/>
  <c r="X36" i="26"/>
  <c r="AB36" i="26"/>
  <c r="AC36" i="26" s="1"/>
  <c r="AJ36" i="26"/>
  <c r="AR36" i="26"/>
  <c r="AV36" i="26"/>
  <c r="O37" i="26"/>
  <c r="W37" i="26"/>
  <c r="AA37" i="26"/>
  <c r="AE37" i="26"/>
  <c r="AF37" i="26" s="1"/>
  <c r="AI37" i="26"/>
  <c r="AM37" i="26"/>
  <c r="AD38" i="26"/>
  <c r="AH38" i="26"/>
  <c r="AL38" i="26"/>
  <c r="AP38" i="26"/>
  <c r="AU38" i="26"/>
  <c r="AX38" i="26"/>
  <c r="AT42" i="26"/>
  <c r="AP42" i="26"/>
  <c r="AD42" i="26"/>
  <c r="R42" i="26"/>
  <c r="N42" i="26"/>
  <c r="AL42" i="26" s="1"/>
  <c r="AW42" i="26"/>
  <c r="AS42" i="26"/>
  <c r="AG42" i="26"/>
  <c r="U42" i="26"/>
  <c r="AV42" i="26"/>
  <c r="AJ42" i="26"/>
  <c r="AB42" i="26"/>
  <c r="X42" i="26"/>
  <c r="AA42" i="26"/>
  <c r="O46" i="26"/>
  <c r="P46" i="26" s="1"/>
  <c r="AM46" i="26"/>
  <c r="U32" i="26"/>
  <c r="Z32" i="26"/>
  <c r="AC32" i="26"/>
  <c r="AG32" i="26"/>
  <c r="AL32" i="26"/>
  <c r="AO32" i="26"/>
  <c r="AS32" i="26"/>
  <c r="X33" i="26"/>
  <c r="AB33" i="26"/>
  <c r="AJ33" i="26"/>
  <c r="AR33" i="26"/>
  <c r="O34" i="26"/>
  <c r="V34" i="26" s="1"/>
  <c r="W34" i="26" s="1"/>
  <c r="AA34" i="26"/>
  <c r="AE34" i="26"/>
  <c r="AF34" i="26" s="1"/>
  <c r="AI34" i="26"/>
  <c r="AM34" i="26"/>
  <c r="AR34" i="26"/>
  <c r="Q36" i="26"/>
  <c r="U36" i="26"/>
  <c r="V36" i="26" s="1"/>
  <c r="W36" i="26" s="1"/>
  <c r="Z36" i="26"/>
  <c r="AG36" i="26"/>
  <c r="AK36" i="26"/>
  <c r="AL36" i="26" s="1"/>
  <c r="AS36" i="26"/>
  <c r="X37" i="26"/>
  <c r="AB37" i="26"/>
  <c r="AC37" i="26" s="1"/>
  <c r="AJ37" i="26"/>
  <c r="O38" i="26"/>
  <c r="AA38" i="26"/>
  <c r="AE38" i="26"/>
  <c r="AF38" i="26" s="1"/>
  <c r="AI38" i="26"/>
  <c r="AM38" i="26"/>
  <c r="AN38" i="26" s="1"/>
  <c r="AR38" i="26"/>
  <c r="O42" i="26"/>
  <c r="P42" i="26" s="1"/>
  <c r="Q42" i="26" s="1"/>
  <c r="AE42" i="26"/>
  <c r="N40" i="26"/>
  <c r="R40" i="26"/>
  <c r="AD40" i="26"/>
  <c r="AE40" i="26" s="1"/>
  <c r="AP40" i="26"/>
  <c r="AT40" i="26"/>
  <c r="U41" i="26"/>
  <c r="AC41" i="26"/>
  <c r="AG41" i="26"/>
  <c r="AH41" i="26" s="1"/>
  <c r="AS41" i="26"/>
  <c r="AW41" i="26"/>
  <c r="O43" i="26"/>
  <c r="P43" i="26" s="1"/>
  <c r="AA43" i="26"/>
  <c r="AE43" i="26"/>
  <c r="AF43" i="26" s="1"/>
  <c r="AM43" i="26"/>
  <c r="AR43" i="26" s="1"/>
  <c r="AU43" i="26"/>
  <c r="N44" i="26"/>
  <c r="R44" i="26"/>
  <c r="AD44" i="26"/>
  <c r="AP44" i="26"/>
  <c r="AT44" i="26"/>
  <c r="U45" i="26"/>
  <c r="AG45" i="26"/>
  <c r="AK45" i="26"/>
  <c r="AS45" i="26"/>
  <c r="AW45" i="26"/>
  <c r="O40" i="26"/>
  <c r="P40" i="26" s="1"/>
  <c r="AA40" i="26"/>
  <c r="AM40" i="26"/>
  <c r="N41" i="26"/>
  <c r="AL41" i="26" s="1"/>
  <c r="R41" i="26"/>
  <c r="AD41" i="26"/>
  <c r="AP41" i="26"/>
  <c r="AT41" i="26"/>
  <c r="X43" i="26"/>
  <c r="AB43" i="26"/>
  <c r="AC43" i="26" s="1"/>
  <c r="AJ43" i="26"/>
  <c r="AO43" i="26"/>
  <c r="AV43" i="26"/>
  <c r="O44" i="26"/>
  <c r="P44" i="26" s="1"/>
  <c r="AA44" i="26"/>
  <c r="AE44" i="26"/>
  <c r="AM44" i="26"/>
  <c r="N45" i="26"/>
  <c r="AC45" i="26" s="1"/>
  <c r="R45" i="26"/>
  <c r="AD45" i="26"/>
  <c r="AH45" i="26"/>
  <c r="AP45" i="26"/>
  <c r="AT54" i="26"/>
  <c r="AP54" i="26"/>
  <c r="AD54" i="26"/>
  <c r="R54" i="26"/>
  <c r="N54" i="26"/>
  <c r="AU54" i="26" s="1"/>
  <c r="AW54" i="26"/>
  <c r="AS54" i="26"/>
  <c r="AK54" i="26"/>
  <c r="AG54" i="26"/>
  <c r="AH54" i="26" s="1"/>
  <c r="Y54" i="26"/>
  <c r="Z54" i="26" s="1"/>
  <c r="U54" i="26"/>
  <c r="V54" i="26" s="1"/>
  <c r="AV54" i="26"/>
  <c r="AN54" i="26"/>
  <c r="AJ54" i="26"/>
  <c r="AB54" i="26"/>
  <c r="X54" i="26"/>
  <c r="AA54" i="26"/>
  <c r="AQ54" i="26"/>
  <c r="X40" i="26"/>
  <c r="AB40" i="26"/>
  <c r="AJ40" i="26"/>
  <c r="O41" i="26"/>
  <c r="P41" i="26" s="1"/>
  <c r="AA41" i="26"/>
  <c r="AE41" i="26"/>
  <c r="AM41" i="26"/>
  <c r="Q43" i="26"/>
  <c r="U43" i="26"/>
  <c r="V43" i="26" s="1"/>
  <c r="W43" i="26" s="1"/>
  <c r="Z43" i="26"/>
  <c r="AG43" i="26"/>
  <c r="AH43" i="26" s="1"/>
  <c r="AI43" i="26" s="1"/>
  <c r="AL43" i="26"/>
  <c r="AS43" i="26"/>
  <c r="X44" i="26"/>
  <c r="AB44" i="26"/>
  <c r="AJ44" i="26"/>
  <c r="O45" i="26"/>
  <c r="P45" i="26" s="1"/>
  <c r="AA45" i="26"/>
  <c r="AE45" i="26"/>
  <c r="AM45" i="26"/>
  <c r="Z47" i="26"/>
  <c r="AX47" i="26"/>
  <c r="AP50" i="26"/>
  <c r="AH50" i="26"/>
  <c r="AD50" i="26"/>
  <c r="V50" i="26"/>
  <c r="R50" i="26"/>
  <c r="S50" i="26" s="1"/>
  <c r="N50" i="26"/>
  <c r="AX50" i="26" s="1"/>
  <c r="AS50" i="26"/>
  <c r="AK50" i="26"/>
  <c r="AG50" i="26"/>
  <c r="U50" i="26"/>
  <c r="AV50" i="26"/>
  <c r="AN50" i="26"/>
  <c r="AO50" i="26" s="1"/>
  <c r="AJ50" i="26"/>
  <c r="AB50" i="26"/>
  <c r="X50" i="26"/>
  <c r="Y50" i="26" s="1"/>
  <c r="AA50" i="26"/>
  <c r="AQ50" i="26"/>
  <c r="O54" i="26"/>
  <c r="P54" i="26" s="1"/>
  <c r="AE54" i="26"/>
  <c r="AF54" i="26" s="1"/>
  <c r="O47" i="26"/>
  <c r="AA47" i="26"/>
  <c r="AE47" i="26"/>
  <c r="AF47" i="26" s="1"/>
  <c r="AI47" i="26"/>
  <c r="AM47" i="26"/>
  <c r="AQ47" i="26"/>
  <c r="AR47" i="26" s="1"/>
  <c r="AU47" i="26"/>
  <c r="N48" i="26"/>
  <c r="AL48" i="26" s="1"/>
  <c r="R48" i="26"/>
  <c r="Z48" i="26"/>
  <c r="AD48" i="26"/>
  <c r="AH48" i="26"/>
  <c r="AI48" i="26" s="1"/>
  <c r="AP48" i="26"/>
  <c r="AU48" i="26" s="1"/>
  <c r="AX48" i="26"/>
  <c r="U49" i="26"/>
  <c r="Y49" i="26" s="1"/>
  <c r="AG49" i="26"/>
  <c r="AK49" i="26"/>
  <c r="AS49" i="26"/>
  <c r="AW49" i="26"/>
  <c r="O51" i="26"/>
  <c r="P51" i="26" s="1"/>
  <c r="Q51" i="26" s="1"/>
  <c r="W51" i="26"/>
  <c r="AA51" i="26"/>
  <c r="AE51" i="26"/>
  <c r="AF51" i="26" s="1"/>
  <c r="AI51" i="26"/>
  <c r="AM51" i="26"/>
  <c r="AQ51" i="26"/>
  <c r="AR51" i="26" s="1"/>
  <c r="AU51" i="26"/>
  <c r="N52" i="26"/>
  <c r="AL52" i="26" s="1"/>
  <c r="R52" i="26"/>
  <c r="S52" i="26" s="1"/>
  <c r="AD52" i="26"/>
  <c r="AH52" i="26"/>
  <c r="AP52" i="26"/>
  <c r="AT52" i="26"/>
  <c r="U53" i="26"/>
  <c r="Y53" i="26"/>
  <c r="AG53" i="26"/>
  <c r="AK53" i="26"/>
  <c r="AS53" i="26"/>
  <c r="AW53" i="26"/>
  <c r="X47" i="26"/>
  <c r="AB47" i="26"/>
  <c r="AC47" i="26" s="1"/>
  <c r="AJ47" i="26"/>
  <c r="AV47" i="26"/>
  <c r="O48" i="26"/>
  <c r="P48" i="26" s="1"/>
  <c r="AA48" i="26"/>
  <c r="AE48" i="26"/>
  <c r="AM48" i="26"/>
  <c r="N49" i="26"/>
  <c r="AC49" i="26" s="1"/>
  <c r="R49" i="26"/>
  <c r="V49" i="26"/>
  <c r="AD49" i="26"/>
  <c r="AH49" i="26"/>
  <c r="AI49" i="26" s="1"/>
  <c r="AP49" i="26"/>
  <c r="X51" i="26"/>
  <c r="Y51" i="26" s="1"/>
  <c r="AJ51" i="26"/>
  <c r="AN51" i="26"/>
  <c r="AO51" i="26" s="1"/>
  <c r="O52" i="26"/>
  <c r="P52" i="26" s="1"/>
  <c r="AA52" i="26"/>
  <c r="AB52" i="26" s="1"/>
  <c r="AM52" i="26"/>
  <c r="AQ52" i="26"/>
  <c r="N53" i="26"/>
  <c r="R53" i="26"/>
  <c r="AD53" i="26"/>
  <c r="AP53" i="26"/>
  <c r="AT53" i="26"/>
  <c r="AS47" i="26"/>
  <c r="AJ48" i="26"/>
  <c r="AR48" i="26"/>
  <c r="O49" i="26"/>
  <c r="P49" i="26" s="1"/>
  <c r="AA49" i="26"/>
  <c r="AE49" i="26"/>
  <c r="AM49" i="26"/>
  <c r="AQ49" i="26"/>
  <c r="AJ52" i="26"/>
  <c r="AN52" i="26"/>
  <c r="O53" i="26"/>
  <c r="P53" i="26" s="1"/>
  <c r="AA53" i="26"/>
  <c r="AE53" i="26"/>
  <c r="AM53" i="26"/>
  <c r="AQ53" i="26"/>
  <c r="T54" i="24"/>
  <c r="H54" i="24"/>
  <c r="AR54" i="24" s="1"/>
  <c r="F54" i="24"/>
  <c r="AR53" i="24"/>
  <c r="M53" i="24"/>
  <c r="H53" i="24"/>
  <c r="AS53" i="24" s="1"/>
  <c r="F53" i="24"/>
  <c r="H52" i="24"/>
  <c r="F52" i="24"/>
  <c r="H51" i="24"/>
  <c r="F51" i="24"/>
  <c r="H50" i="24"/>
  <c r="AR50" i="24" s="1"/>
  <c r="F50" i="24"/>
  <c r="H49" i="24"/>
  <c r="AC49" i="24" s="1"/>
  <c r="F49" i="24"/>
  <c r="H48" i="24"/>
  <c r="W48" i="24" s="1"/>
  <c r="F48" i="24"/>
  <c r="H47" i="24"/>
  <c r="AA47" i="24" s="1"/>
  <c r="F47" i="24"/>
  <c r="H46" i="24"/>
  <c r="AO46" i="24" s="1"/>
  <c r="F46" i="24"/>
  <c r="H45" i="24"/>
  <c r="AM45" i="24" s="1"/>
  <c r="F45" i="24"/>
  <c r="H44" i="24"/>
  <c r="AV44" i="24" s="1"/>
  <c r="F44" i="24"/>
  <c r="H43" i="24"/>
  <c r="AU43" i="24" s="1"/>
  <c r="F43" i="24"/>
  <c r="H42" i="24"/>
  <c r="AS42" i="24" s="1"/>
  <c r="F42" i="24"/>
  <c r="H41" i="24"/>
  <c r="AS41" i="24" s="1"/>
  <c r="F41" i="24"/>
  <c r="AP40" i="24"/>
  <c r="T40" i="24"/>
  <c r="R40" i="24"/>
  <c r="H40" i="24"/>
  <c r="AU40" i="24" s="1"/>
  <c r="F40" i="24"/>
  <c r="AV39" i="24"/>
  <c r="AW39" i="24" s="1"/>
  <c r="AU39" i="24"/>
  <c r="AF39" i="24"/>
  <c r="Q39" i="24"/>
  <c r="M39" i="24"/>
  <c r="H39" i="24"/>
  <c r="AR39" i="24" s="1"/>
  <c r="F39" i="24"/>
  <c r="H38" i="24"/>
  <c r="F38" i="24"/>
  <c r="H37" i="24"/>
  <c r="AU37" i="24" s="1"/>
  <c r="F37" i="24"/>
  <c r="AL36" i="24"/>
  <c r="H36" i="24"/>
  <c r="AJ36" i="24" s="1"/>
  <c r="F36" i="24"/>
  <c r="AJ35" i="24"/>
  <c r="W35" i="24"/>
  <c r="H35" i="24"/>
  <c r="AR35" i="24" s="1"/>
  <c r="F35" i="24"/>
  <c r="H34" i="24"/>
  <c r="AR34" i="24" s="1"/>
  <c r="F34" i="24"/>
  <c r="X33" i="24"/>
  <c r="H33" i="24"/>
  <c r="AR33" i="24" s="1"/>
  <c r="F33" i="24"/>
  <c r="AL32" i="24"/>
  <c r="M32" i="24"/>
  <c r="H32" i="24"/>
  <c r="AO32" i="24" s="1"/>
  <c r="H31" i="24"/>
  <c r="AD31" i="24" s="1"/>
  <c r="F31" i="24"/>
  <c r="H30" i="24"/>
  <c r="F30" i="24"/>
  <c r="AS28" i="24"/>
  <c r="AJ28" i="24"/>
  <c r="AC28" i="24"/>
  <c r="T28" i="24"/>
  <c r="H28" i="24"/>
  <c r="AR28" i="24" s="1"/>
  <c r="F28" i="24"/>
  <c r="AO27" i="24"/>
  <c r="AJ27" i="24"/>
  <c r="X27" i="24"/>
  <c r="N27" i="24"/>
  <c r="O27" i="24" s="1"/>
  <c r="M27" i="24"/>
  <c r="Y27" i="24" s="1"/>
  <c r="H27" i="24"/>
  <c r="F27" i="24"/>
  <c r="AO26" i="24"/>
  <c r="AG26" i="24"/>
  <c r="Q26" i="24"/>
  <c r="H26" i="24"/>
  <c r="AS26" i="24" s="1"/>
  <c r="F26" i="24"/>
  <c r="H25" i="24"/>
  <c r="F25" i="24"/>
  <c r="H24" i="24"/>
  <c r="AS24" i="24" s="1"/>
  <c r="F24" i="24"/>
  <c r="AD23" i="24"/>
  <c r="H23" i="24"/>
  <c r="AO23" i="24" s="1"/>
  <c r="F23" i="24"/>
  <c r="AO22" i="24"/>
  <c r="AI22" i="24"/>
  <c r="AD22" i="24"/>
  <c r="W22" i="24"/>
  <c r="N22" i="24"/>
  <c r="O22" i="24" s="1"/>
  <c r="M22" i="24"/>
  <c r="AT22" i="24" s="1"/>
  <c r="H22" i="24"/>
  <c r="AS22" i="24" s="1"/>
  <c r="F22" i="24"/>
  <c r="AV21" i="24"/>
  <c r="AI21" i="24"/>
  <c r="X21" i="24"/>
  <c r="H21" i="24"/>
  <c r="AL21" i="24" s="1"/>
  <c r="F21" i="24"/>
  <c r="AR20" i="24"/>
  <c r="AI20" i="24"/>
  <c r="AA20" i="24"/>
  <c r="T20" i="24"/>
  <c r="H20" i="24"/>
  <c r="AS20" i="24" s="1"/>
  <c r="F20" i="24"/>
  <c r="H19" i="24"/>
  <c r="AL19" i="24" s="1"/>
  <c r="F19" i="24"/>
  <c r="H18" i="24"/>
  <c r="AO18" i="24" s="1"/>
  <c r="F18" i="24"/>
  <c r="H17" i="24"/>
  <c r="F17" i="24"/>
  <c r="AV16" i="24"/>
  <c r="AU16" i="24"/>
  <c r="AO16" i="24"/>
  <c r="AG16" i="24"/>
  <c r="AF16" i="24"/>
  <c r="AA16" i="24"/>
  <c r="X16" i="24"/>
  <c r="Q16" i="24"/>
  <c r="M16" i="24"/>
  <c r="H16" i="24"/>
  <c r="AR16" i="24" s="1"/>
  <c r="F16" i="24"/>
  <c r="H15" i="24"/>
  <c r="AV15" i="24" s="1"/>
  <c r="F15" i="24"/>
  <c r="AG14" i="24"/>
  <c r="Q14" i="24"/>
  <c r="H14" i="24"/>
  <c r="AO14" i="24" s="1"/>
  <c r="F14" i="24"/>
  <c r="H13" i="24"/>
  <c r="F13" i="24"/>
  <c r="AV12" i="24"/>
  <c r="AS12" i="24"/>
  <c r="AR12" i="24"/>
  <c r="AO12" i="24"/>
  <c r="AI12" i="24"/>
  <c r="AG12" i="24"/>
  <c r="AF12" i="24"/>
  <c r="AA12" i="24"/>
  <c r="AB12" i="24" s="1"/>
  <c r="X12" i="24"/>
  <c r="T12" i="24"/>
  <c r="Q12" i="24"/>
  <c r="M12" i="24"/>
  <c r="H12" i="24"/>
  <c r="F12" i="24"/>
  <c r="AV11" i="24"/>
  <c r="AO11" i="24"/>
  <c r="AJ11" i="24"/>
  <c r="AC11" i="24"/>
  <c r="X11" i="24"/>
  <c r="Q11" i="24"/>
  <c r="M11" i="24"/>
  <c r="H11" i="24"/>
  <c r="AS11" i="24" s="1"/>
  <c r="F11" i="24"/>
  <c r="H10" i="24"/>
  <c r="AP10" i="24" s="1"/>
  <c r="F10" i="24"/>
  <c r="AR9" i="24"/>
  <c r="AM9" i="24"/>
  <c r="AF9" i="24"/>
  <c r="AD9" i="24"/>
  <c r="W9" i="24"/>
  <c r="N9" i="24"/>
  <c r="U9" i="24" s="1"/>
  <c r="H9" i="24"/>
  <c r="AL9" i="24" s="1"/>
  <c r="F9" i="24"/>
  <c r="AU8" i="24"/>
  <c r="AF8" i="24"/>
  <c r="W8" i="24"/>
  <c r="H8" i="24"/>
  <c r="AV8" i="24" s="1"/>
  <c r="F8" i="24"/>
  <c r="H7" i="24"/>
  <c r="AF7" i="24" s="1"/>
  <c r="F7" i="24"/>
  <c r="AI6" i="24"/>
  <c r="H6" i="24"/>
  <c r="AO6" i="24" s="1"/>
  <c r="F6" i="24"/>
  <c r="H54" i="23"/>
  <c r="AU54" i="23" s="1"/>
  <c r="F54" i="23"/>
  <c r="H53" i="23"/>
  <c r="AV53" i="23" s="1"/>
  <c r="F53" i="23"/>
  <c r="H52" i="23"/>
  <c r="AL52" i="23" s="1"/>
  <c r="F52" i="23"/>
  <c r="H51" i="23"/>
  <c r="AP51" i="23" s="1"/>
  <c r="F51" i="23"/>
  <c r="H50" i="23"/>
  <c r="AS50" i="23" s="1"/>
  <c r="F50" i="23"/>
  <c r="H49" i="23"/>
  <c r="AJ49" i="23" s="1"/>
  <c r="F49" i="23"/>
  <c r="H48" i="23"/>
  <c r="AM48" i="23" s="1"/>
  <c r="F48" i="23"/>
  <c r="H47" i="23"/>
  <c r="AU47" i="23" s="1"/>
  <c r="F47" i="23"/>
  <c r="H46" i="23"/>
  <c r="AO46" i="23" s="1"/>
  <c r="F46" i="23"/>
  <c r="H45" i="23"/>
  <c r="AS45" i="23" s="1"/>
  <c r="F45" i="23"/>
  <c r="H44" i="23"/>
  <c r="AI44" i="23" s="1"/>
  <c r="F44" i="23"/>
  <c r="H43" i="23"/>
  <c r="AS43" i="23" s="1"/>
  <c r="F43" i="23"/>
  <c r="H42" i="23"/>
  <c r="AO42" i="23" s="1"/>
  <c r="F42" i="23"/>
  <c r="H41" i="23"/>
  <c r="AS41" i="23" s="1"/>
  <c r="F41" i="23"/>
  <c r="H40" i="23"/>
  <c r="AI40" i="23" s="1"/>
  <c r="F40" i="23"/>
  <c r="H39" i="23"/>
  <c r="AU39" i="23" s="1"/>
  <c r="F39" i="23"/>
  <c r="H38" i="23"/>
  <c r="AG38" i="23" s="1"/>
  <c r="F38" i="23"/>
  <c r="H37" i="23"/>
  <c r="AO37" i="23" s="1"/>
  <c r="F37" i="23"/>
  <c r="AR36" i="23"/>
  <c r="H36" i="23"/>
  <c r="AD36" i="23" s="1"/>
  <c r="F36" i="23"/>
  <c r="H35" i="23"/>
  <c r="AV35" i="23" s="1"/>
  <c r="F35" i="23"/>
  <c r="H34" i="23"/>
  <c r="AL34" i="23" s="1"/>
  <c r="F34" i="23"/>
  <c r="H33" i="23"/>
  <c r="AS33" i="23" s="1"/>
  <c r="F33" i="23"/>
  <c r="H32" i="23"/>
  <c r="AL32" i="23" s="1"/>
  <c r="N31" i="23"/>
  <c r="O31" i="23" s="1"/>
  <c r="M31" i="23"/>
  <c r="H31" i="23"/>
  <c r="AA31" i="23" s="1"/>
  <c r="F31" i="23"/>
  <c r="H30" i="23"/>
  <c r="AR30" i="23" s="1"/>
  <c r="F30" i="23"/>
  <c r="AO28" i="23"/>
  <c r="AI28" i="23"/>
  <c r="T28" i="23"/>
  <c r="H28" i="23"/>
  <c r="AU28" i="23" s="1"/>
  <c r="F28" i="23"/>
  <c r="AF27" i="23"/>
  <c r="H27" i="23"/>
  <c r="F27" i="23"/>
  <c r="AS26" i="23"/>
  <c r="H26" i="23"/>
  <c r="AP26" i="23" s="1"/>
  <c r="F26" i="23"/>
  <c r="AL25" i="23"/>
  <c r="X25" i="23"/>
  <c r="H25" i="23"/>
  <c r="AM25" i="23" s="1"/>
  <c r="F25" i="23"/>
  <c r="AS24" i="23"/>
  <c r="AR24" i="23"/>
  <c r="AM24" i="23"/>
  <c r="AG24" i="23"/>
  <c r="AF24" i="23"/>
  <c r="AA24" i="23"/>
  <c r="W24" i="23"/>
  <c r="Q24" i="23"/>
  <c r="M24" i="23"/>
  <c r="H24" i="23"/>
  <c r="AV24" i="23" s="1"/>
  <c r="F24" i="23"/>
  <c r="H23" i="23"/>
  <c r="AS23" i="23" s="1"/>
  <c r="F23" i="23"/>
  <c r="H22" i="23"/>
  <c r="Q22" i="23" s="1"/>
  <c r="F22" i="23"/>
  <c r="AD21" i="23"/>
  <c r="W21" i="23"/>
  <c r="H21" i="23"/>
  <c r="AR21" i="23" s="1"/>
  <c r="F21" i="23"/>
  <c r="AU20" i="23"/>
  <c r="AJ20" i="23"/>
  <c r="AC20" i="23"/>
  <c r="T20" i="23"/>
  <c r="H20" i="23"/>
  <c r="AV20" i="23" s="1"/>
  <c r="F20" i="23"/>
  <c r="AS19" i="23"/>
  <c r="AO19" i="23"/>
  <c r="AL19" i="23"/>
  <c r="AG19" i="23"/>
  <c r="AC19" i="23"/>
  <c r="X19" i="23"/>
  <c r="T19" i="23"/>
  <c r="Q19" i="23"/>
  <c r="N19" i="23"/>
  <c r="O19" i="23" s="1"/>
  <c r="M19" i="23"/>
  <c r="H19" i="23"/>
  <c r="AR19" i="23" s="1"/>
  <c r="F19" i="23"/>
  <c r="AP18" i="23"/>
  <c r="U18" i="23"/>
  <c r="M18" i="23"/>
  <c r="H18" i="23"/>
  <c r="AU18" i="23" s="1"/>
  <c r="F18" i="23"/>
  <c r="AV17" i="23"/>
  <c r="AL17" i="23"/>
  <c r="AD17" i="23"/>
  <c r="AA17" i="23"/>
  <c r="N17" i="23"/>
  <c r="O17" i="23" s="1"/>
  <c r="M17" i="23"/>
  <c r="H17" i="23"/>
  <c r="AJ17" i="23" s="1"/>
  <c r="F17" i="23"/>
  <c r="AP16" i="23"/>
  <c r="H16" i="23"/>
  <c r="AU16" i="23" s="1"/>
  <c r="F16" i="23"/>
  <c r="H15" i="23"/>
  <c r="AV15" i="23" s="1"/>
  <c r="F15" i="23"/>
  <c r="AD14" i="23"/>
  <c r="H14" i="23"/>
  <c r="AS14" i="23" s="1"/>
  <c r="F14" i="23"/>
  <c r="AM13" i="23"/>
  <c r="W13" i="23"/>
  <c r="H13" i="23"/>
  <c r="AO13" i="23" s="1"/>
  <c r="F13" i="23"/>
  <c r="AV12" i="23"/>
  <c r="AL12" i="23"/>
  <c r="AF12" i="23"/>
  <c r="AC12" i="23"/>
  <c r="T12" i="23"/>
  <c r="Q12" i="23"/>
  <c r="M12" i="23"/>
  <c r="H12" i="23"/>
  <c r="AR12" i="23" s="1"/>
  <c r="F12" i="23"/>
  <c r="AS11" i="23"/>
  <c r="AO11" i="23"/>
  <c r="AC11" i="23"/>
  <c r="Q11" i="23"/>
  <c r="M11" i="23"/>
  <c r="H11" i="23"/>
  <c r="AU11" i="23" s="1"/>
  <c r="F11" i="23"/>
  <c r="AM10" i="23"/>
  <c r="W10" i="23"/>
  <c r="N10" i="23"/>
  <c r="U10" i="23" s="1"/>
  <c r="H10" i="23"/>
  <c r="AL10" i="23" s="1"/>
  <c r="F10" i="23"/>
  <c r="AU9" i="23"/>
  <c r="AM9" i="23"/>
  <c r="AC9" i="23"/>
  <c r="T9" i="23"/>
  <c r="H9" i="23"/>
  <c r="AS9" i="23" s="1"/>
  <c r="F9" i="23"/>
  <c r="AR8" i="23"/>
  <c r="AO8" i="23"/>
  <c r="AF8" i="23"/>
  <c r="AC8" i="23"/>
  <c r="Q8" i="23"/>
  <c r="M8" i="23"/>
  <c r="H8" i="23"/>
  <c r="AL8" i="23" s="1"/>
  <c r="F8" i="23"/>
  <c r="H7" i="23"/>
  <c r="F7" i="23"/>
  <c r="H6" i="23"/>
  <c r="AL6" i="23" s="1"/>
  <c r="F6" i="23"/>
  <c r="W6" i="23" l="1"/>
  <c r="AM6" i="23"/>
  <c r="T8" i="23"/>
  <c r="U8" i="23" s="1"/>
  <c r="AG8" i="23"/>
  <c r="AS8" i="23"/>
  <c r="M9" i="23"/>
  <c r="X9" i="23"/>
  <c r="AI9" i="23"/>
  <c r="AR9" i="23"/>
  <c r="AD10" i="23"/>
  <c r="AG11" i="23"/>
  <c r="X12" i="23"/>
  <c r="M13" i="23"/>
  <c r="AD13" i="23"/>
  <c r="AS13" i="23"/>
  <c r="N14" i="23"/>
  <c r="O14" i="23" s="1"/>
  <c r="AO14" i="23"/>
  <c r="Q15" i="23"/>
  <c r="X15" i="23"/>
  <c r="AF15" i="23"/>
  <c r="AM15" i="23"/>
  <c r="AU15" i="23"/>
  <c r="T16" i="23"/>
  <c r="Q17" i="23"/>
  <c r="R17" i="23" s="1"/>
  <c r="AI17" i="23"/>
  <c r="AA18" i="23"/>
  <c r="R19" i="23"/>
  <c r="AD19" i="23"/>
  <c r="M20" i="23"/>
  <c r="X20" i="23"/>
  <c r="AG20" i="23"/>
  <c r="AR20" i="23"/>
  <c r="AJ21" i="23"/>
  <c r="T24" i="23"/>
  <c r="AB24" i="23"/>
  <c r="AI24" i="23"/>
  <c r="AN24" i="23"/>
  <c r="AU24" i="23"/>
  <c r="N25" i="23"/>
  <c r="O25" i="23" s="1"/>
  <c r="P25" i="23" s="1"/>
  <c r="AF25" i="23"/>
  <c r="AR25" i="23"/>
  <c r="W26" i="23"/>
  <c r="M28" i="23"/>
  <c r="W28" i="23"/>
  <c r="AF28" i="23"/>
  <c r="AS28" i="23"/>
  <c r="AO31" i="23"/>
  <c r="AP52" i="23"/>
  <c r="Q53" i="23"/>
  <c r="AR53" i="23"/>
  <c r="AJ54" i="23"/>
  <c r="N6" i="24"/>
  <c r="U6" i="24" s="1"/>
  <c r="M8" i="24"/>
  <c r="T8" i="24"/>
  <c r="AA8" i="24"/>
  <c r="AB8" i="24" s="1"/>
  <c r="AI8" i="24"/>
  <c r="AR8" i="24"/>
  <c r="X9" i="24"/>
  <c r="AI9" i="24"/>
  <c r="AV9" i="24"/>
  <c r="N10" i="24"/>
  <c r="U10" i="24" s="1"/>
  <c r="AD10" i="24"/>
  <c r="T11" i="24"/>
  <c r="U11" i="24" s="1"/>
  <c r="AF11" i="24"/>
  <c r="AR11" i="24"/>
  <c r="AT12" i="24"/>
  <c r="W12" i="24"/>
  <c r="AC12" i="24"/>
  <c r="AJ12" i="24"/>
  <c r="AU12" i="24"/>
  <c r="Q15" i="24"/>
  <c r="AC15" i="24"/>
  <c r="AO15" i="24"/>
  <c r="T16" i="24"/>
  <c r="U16" i="24" s="1"/>
  <c r="AB16" i="24"/>
  <c r="AI16" i="24"/>
  <c r="AJ16" i="24" s="1"/>
  <c r="AD18" i="24"/>
  <c r="Q19" i="24"/>
  <c r="M20" i="24"/>
  <c r="W20" i="24"/>
  <c r="AF20" i="24"/>
  <c r="AU20" i="24"/>
  <c r="N21" i="24"/>
  <c r="O21" i="24" s="1"/>
  <c r="AD21" i="24"/>
  <c r="AM21" i="24"/>
  <c r="AC22" i="24"/>
  <c r="T23" i="24"/>
  <c r="AV23" i="24"/>
  <c r="Q24" i="24"/>
  <c r="AA24" i="24"/>
  <c r="AI24" i="24"/>
  <c r="AR24" i="24"/>
  <c r="M26" i="24"/>
  <c r="AC26" i="24"/>
  <c r="AL26" i="24"/>
  <c r="R27" i="24"/>
  <c r="AC27" i="24"/>
  <c r="AS27" i="24"/>
  <c r="AT27" i="24" s="1"/>
  <c r="M28" i="24"/>
  <c r="W28" i="24"/>
  <c r="AG28" i="24"/>
  <c r="AO28" i="24"/>
  <c r="AI39" i="24"/>
  <c r="AV40" i="24"/>
  <c r="AC41" i="24"/>
  <c r="AN48" i="26"/>
  <c r="P47" i="26"/>
  <c r="Q47" i="26" s="1"/>
  <c r="AF50" i="26"/>
  <c r="Q50" i="26"/>
  <c r="AT50" i="26"/>
  <c r="AT45" i="26"/>
  <c r="S38" i="26"/>
  <c r="T38" i="26" s="1"/>
  <c r="P38" i="26"/>
  <c r="AR42" i="26"/>
  <c r="AH42" i="26"/>
  <c r="S42" i="26"/>
  <c r="T42" i="26" s="1"/>
  <c r="AN36" i="26"/>
  <c r="S33" i="26"/>
  <c r="AI35" i="26"/>
  <c r="AI21" i="26"/>
  <c r="AX30" i="26"/>
  <c r="AU20" i="26"/>
  <c r="AO22" i="26"/>
  <c r="AI10" i="26"/>
  <c r="Z14" i="26"/>
  <c r="AI8" i="26"/>
  <c r="W15" i="26"/>
  <c r="Q11" i="26"/>
  <c r="Z18" i="26"/>
  <c r="AU11" i="26"/>
  <c r="AO9" i="26"/>
  <c r="AO13" i="26"/>
  <c r="S32" i="26"/>
  <c r="AI49" i="27"/>
  <c r="P40" i="27"/>
  <c r="Q40" i="27" s="1"/>
  <c r="V40" i="27"/>
  <c r="AR35" i="27"/>
  <c r="AC45" i="27"/>
  <c r="Z39" i="27"/>
  <c r="P42" i="27"/>
  <c r="Q42" i="27" s="1"/>
  <c r="V42" i="27"/>
  <c r="AK37" i="27"/>
  <c r="AL37" i="27" s="1"/>
  <c r="AU35" i="27"/>
  <c r="S31" i="27"/>
  <c r="T31" i="27" s="1"/>
  <c r="V20" i="27"/>
  <c r="Z28" i="27"/>
  <c r="AO28" i="27"/>
  <c r="T28" i="27"/>
  <c r="W28" i="27"/>
  <c r="AI28" i="27"/>
  <c r="S15" i="27"/>
  <c r="T15" i="27" s="1"/>
  <c r="W40" i="27"/>
  <c r="AD6" i="23"/>
  <c r="AU6" i="23"/>
  <c r="X8" i="23"/>
  <c r="Y8" i="23" s="1"/>
  <c r="AJ8" i="23"/>
  <c r="AV8" i="23"/>
  <c r="AW8" i="23" s="1"/>
  <c r="Q9" i="23"/>
  <c r="AA9" i="23"/>
  <c r="AB9" i="23" s="1"/>
  <c r="AJ9" i="23"/>
  <c r="N13" i="23"/>
  <c r="O13" i="23" s="1"/>
  <c r="AI13" i="23"/>
  <c r="AU13" i="23"/>
  <c r="T14" i="23"/>
  <c r="T15" i="23"/>
  <c r="AG15" i="23"/>
  <c r="AO15" i="23"/>
  <c r="Z16" i="23"/>
  <c r="W17" i="23"/>
  <c r="AC18" i="23"/>
  <c r="U19" i="23"/>
  <c r="Q20" i="23"/>
  <c r="AA20" i="23"/>
  <c r="AI20" i="23"/>
  <c r="AS20" i="23"/>
  <c r="U24" i="23"/>
  <c r="AC24" i="23"/>
  <c r="AJ24" i="23"/>
  <c r="AK24" i="23" s="1"/>
  <c r="AO24" i="23"/>
  <c r="W25" i="23"/>
  <c r="AI25" i="23"/>
  <c r="AV25" i="23"/>
  <c r="AD26" i="23"/>
  <c r="Q28" i="23"/>
  <c r="X28" i="23"/>
  <c r="AG28" i="23"/>
  <c r="AM28" i="23"/>
  <c r="X53" i="23"/>
  <c r="AR54" i="23"/>
  <c r="AD6" i="24"/>
  <c r="O8" i="24"/>
  <c r="AC8" i="24"/>
  <c r="AJ8" i="24"/>
  <c r="AS8" i="24"/>
  <c r="AA9" i="24"/>
  <c r="R10" i="24"/>
  <c r="AI10" i="24"/>
  <c r="AG11" i="24"/>
  <c r="T15" i="24"/>
  <c r="AF15" i="24"/>
  <c r="AR15" i="24"/>
  <c r="W16" i="24"/>
  <c r="AC16" i="24"/>
  <c r="AM16" i="24"/>
  <c r="AN16" i="24" s="1"/>
  <c r="AS16" i="24"/>
  <c r="AT16" i="24" s="1"/>
  <c r="Q20" i="24"/>
  <c r="U20" i="24" s="1"/>
  <c r="V20" i="24" s="1"/>
  <c r="X20" i="24"/>
  <c r="AG20" i="24"/>
  <c r="AO20" i="24"/>
  <c r="AV20" i="24"/>
  <c r="AW20" i="24" s="1"/>
  <c r="W21" i="24"/>
  <c r="AF21" i="24"/>
  <c r="AR21" i="24"/>
  <c r="Z23" i="24"/>
  <c r="T24" i="24"/>
  <c r="AC24" i="24"/>
  <c r="AJ24" i="24"/>
  <c r="N26" i="24"/>
  <c r="O26" i="24" s="1"/>
  <c r="AD26" i="24"/>
  <c r="AM26" i="24"/>
  <c r="T27" i="24"/>
  <c r="AD27" i="24"/>
  <c r="Q28" i="24"/>
  <c r="X28" i="24"/>
  <c r="AI28" i="24"/>
  <c r="Q49" i="26"/>
  <c r="AX49" i="26"/>
  <c r="Z41" i="26"/>
  <c r="AF42" i="26"/>
  <c r="AO42" i="26"/>
  <c r="AL25" i="26"/>
  <c r="AL24" i="26"/>
  <c r="P31" i="26"/>
  <c r="V31" i="26"/>
  <c r="AT14" i="26"/>
  <c r="AE31" i="26"/>
  <c r="AX12" i="26"/>
  <c r="AC13" i="26"/>
  <c r="V12" i="26"/>
  <c r="W12" i="26" s="1"/>
  <c r="Z51" i="26"/>
  <c r="S34" i="26"/>
  <c r="AF49" i="27"/>
  <c r="V46" i="27"/>
  <c r="W46" i="27" s="1"/>
  <c r="P32" i="27"/>
  <c r="Q32" i="27" s="1"/>
  <c r="V32" i="27"/>
  <c r="W32" i="27" s="1"/>
  <c r="AQ45" i="27"/>
  <c r="AR45" i="27" s="1"/>
  <c r="AR18" i="27"/>
  <c r="T12" i="27"/>
  <c r="AK8" i="23"/>
  <c r="U15" i="23"/>
  <c r="AA15" i="23"/>
  <c r="AI15" i="23"/>
  <c r="AR15" i="23"/>
  <c r="U20" i="23"/>
  <c r="X24" i="23"/>
  <c r="AC53" i="23"/>
  <c r="W10" i="24"/>
  <c r="AO10" i="24"/>
  <c r="U15" i="24"/>
  <c r="AG15" i="24"/>
  <c r="AS15" i="24"/>
  <c r="AB20" i="24"/>
  <c r="U24" i="24"/>
  <c r="AF24" i="24"/>
  <c r="AM24" i="24"/>
  <c r="AU24" i="24"/>
  <c r="R26" i="24"/>
  <c r="AH26" i="24"/>
  <c r="AT49" i="26"/>
  <c r="S41" i="26"/>
  <c r="AN37" i="26"/>
  <c r="AO37" i="26" s="1"/>
  <c r="V32" i="26"/>
  <c r="W32" i="26" s="1"/>
  <c r="P32" i="26"/>
  <c r="Q32" i="26" s="1"/>
  <c r="AR26" i="26"/>
  <c r="AE32" i="26"/>
  <c r="AF32" i="26" s="1"/>
  <c r="AU18" i="27"/>
  <c r="AC18" i="27"/>
  <c r="AX18" i="27"/>
  <c r="AI6" i="23"/>
  <c r="AN9" i="23"/>
  <c r="N6" i="23"/>
  <c r="U6" i="23" s="1"/>
  <c r="AT9" i="23"/>
  <c r="W9" i="23"/>
  <c r="AF9" i="23"/>
  <c r="AG9" i="23" s="1"/>
  <c r="AO9" i="23"/>
  <c r="AV9" i="23"/>
  <c r="U12" i="23"/>
  <c r="AC13" i="23"/>
  <c r="AJ14" i="23"/>
  <c r="M15" i="23"/>
  <c r="AN15" i="23" s="1"/>
  <c r="W15" i="23"/>
  <c r="AC15" i="23"/>
  <c r="AJ15" i="23"/>
  <c r="AS15" i="23"/>
  <c r="W20" i="23"/>
  <c r="AF20" i="23"/>
  <c r="AO20" i="23"/>
  <c r="AF23" i="23"/>
  <c r="AD25" i="23"/>
  <c r="AT28" i="23"/>
  <c r="U28" i="23"/>
  <c r="AC28" i="23"/>
  <c r="AJ28" i="23"/>
  <c r="AR28" i="23"/>
  <c r="AV28" i="23" s="1"/>
  <c r="AW28" i="23" s="1"/>
  <c r="AA52" i="23"/>
  <c r="M53" i="23"/>
  <c r="AO53" i="23"/>
  <c r="T54" i="23"/>
  <c r="Q8" i="24"/>
  <c r="X8" i="24"/>
  <c r="AG8" i="24"/>
  <c r="AO8" i="24"/>
  <c r="M10" i="24"/>
  <c r="AC10" i="24"/>
  <c r="U12" i="24"/>
  <c r="M15" i="24"/>
  <c r="X15" i="24"/>
  <c r="AJ15" i="24"/>
  <c r="AC20" i="24"/>
  <c r="AJ20" i="24"/>
  <c r="AK20" i="24" s="1"/>
  <c r="AA21" i="24"/>
  <c r="M24" i="24"/>
  <c r="AN24" i="24" s="1"/>
  <c r="W24" i="24"/>
  <c r="AG24" i="24"/>
  <c r="AO24" i="24"/>
  <c r="AV24" i="24"/>
  <c r="AW24" i="24" s="1"/>
  <c r="W26" i="24"/>
  <c r="AI26" i="24"/>
  <c r="AT28" i="24"/>
  <c r="U28" i="24"/>
  <c r="AF28" i="24"/>
  <c r="AM28" i="24"/>
  <c r="AU28" i="24"/>
  <c r="AV28" i="24" s="1"/>
  <c r="Q41" i="24"/>
  <c r="V44" i="26"/>
  <c r="W44" i="26" s="1"/>
  <c r="S44" i="26"/>
  <c r="AX41" i="26"/>
  <c r="V40" i="26"/>
  <c r="W40" i="26" s="1"/>
  <c r="S40" i="26"/>
  <c r="AU42" i="26"/>
  <c r="P37" i="26"/>
  <c r="Q37" i="26" s="1"/>
  <c r="S31" i="26"/>
  <c r="AU31" i="26"/>
  <c r="AE15" i="26"/>
  <c r="AF15" i="26" s="1"/>
  <c r="AH44" i="26"/>
  <c r="AI44" i="26" s="1"/>
  <c r="Q53" i="27"/>
  <c r="AF53" i="27"/>
  <c r="Z53" i="27"/>
  <c r="AX53" i="27"/>
  <c r="W53" i="27"/>
  <c r="P41" i="27"/>
  <c r="V41" i="27"/>
  <c r="AL35" i="27"/>
  <c r="AI35" i="27"/>
  <c r="AO35" i="27"/>
  <c r="Q35" i="27"/>
  <c r="P31" i="27"/>
  <c r="Q31" i="27" s="1"/>
  <c r="V31" i="27"/>
  <c r="W31" i="27" s="1"/>
  <c r="K31" i="27" s="1"/>
  <c r="M31" i="27" s="1"/>
  <c r="S43" i="26"/>
  <c r="AR49" i="27"/>
  <c r="V47" i="27"/>
  <c r="AQ46" i="27"/>
  <c r="AR46" i="27" s="1"/>
  <c r="P44" i="27"/>
  <c r="Q44" i="27" s="1"/>
  <c r="V44" i="27"/>
  <c r="W44" i="27" s="1"/>
  <c r="AF32" i="27"/>
  <c r="AB32" i="27"/>
  <c r="AC32" i="27" s="1"/>
  <c r="AF48" i="27"/>
  <c r="AO39" i="27"/>
  <c r="AI24" i="27"/>
  <c r="AX24" i="27"/>
  <c r="Y24" i="27"/>
  <c r="AO20" i="27"/>
  <c r="AL18" i="27"/>
  <c r="AF31" i="27"/>
  <c r="AB31" i="27"/>
  <c r="AC31" i="27" s="1"/>
  <c r="S22" i="27"/>
  <c r="T22" i="27" s="1"/>
  <c r="AU8" i="27"/>
  <c r="AI8" i="27"/>
  <c r="AI10" i="27"/>
  <c r="AL10" i="27"/>
  <c r="V8" i="27"/>
  <c r="Z40" i="27"/>
  <c r="AL40" i="27"/>
  <c r="AO52" i="27"/>
  <c r="P40" i="28"/>
  <c r="Q40" i="28" s="1"/>
  <c r="V40" i="28"/>
  <c r="W40" i="28" s="1"/>
  <c r="AU53" i="28"/>
  <c r="T53" i="28"/>
  <c r="AX53" i="28"/>
  <c r="V49" i="28"/>
  <c r="AL42" i="28"/>
  <c r="Q37" i="28"/>
  <c r="AF32" i="28"/>
  <c r="AB32" i="28"/>
  <c r="AC32" i="28" s="1"/>
  <c r="AF34" i="28"/>
  <c r="S34" i="28"/>
  <c r="AO30" i="28"/>
  <c r="AL24" i="28"/>
  <c r="AR42" i="28"/>
  <c r="AO24" i="28"/>
  <c r="AI17" i="28"/>
  <c r="AO17" i="28"/>
  <c r="AK16" i="28"/>
  <c r="AL16" i="28" s="1"/>
  <c r="AT14" i="28"/>
  <c r="T14" i="28"/>
  <c r="T10" i="28"/>
  <c r="AC9" i="28"/>
  <c r="AF6" i="28"/>
  <c r="AO20" i="28"/>
  <c r="AU16" i="28"/>
  <c r="V16" i="28"/>
  <c r="AO14" i="28"/>
  <c r="Z9" i="28"/>
  <c r="AI6" i="28"/>
  <c r="Z6" i="28"/>
  <c r="AL36" i="28"/>
  <c r="Z54" i="28"/>
  <c r="AT50" i="29"/>
  <c r="AQ50" i="29"/>
  <c r="Z40" i="29"/>
  <c r="AF40" i="29"/>
  <c r="AU40" i="29"/>
  <c r="AX43" i="29"/>
  <c r="Q37" i="29"/>
  <c r="AQ45" i="29"/>
  <c r="AB39" i="29"/>
  <c r="AC39" i="29" s="1"/>
  <c r="AL24" i="29"/>
  <c r="AO24" i="29"/>
  <c r="AN20" i="29"/>
  <c r="Q19" i="29"/>
  <c r="S14" i="29"/>
  <c r="T26" i="29"/>
  <c r="AK19" i="29"/>
  <c r="AL19" i="29" s="1"/>
  <c r="AI14" i="29"/>
  <c r="AR10" i="29"/>
  <c r="T10" i="29"/>
  <c r="AN8" i="29"/>
  <c r="T36" i="30"/>
  <c r="AS16" i="30"/>
  <c r="R16" i="30"/>
  <c r="AC6" i="30"/>
  <c r="AG50" i="30"/>
  <c r="AY50" i="30"/>
  <c r="AS24" i="30"/>
  <c r="R24" i="30"/>
  <c r="Z50" i="30"/>
  <c r="AL41" i="30"/>
  <c r="W41" i="30"/>
  <c r="X41" i="30" s="1"/>
  <c r="W32" i="30"/>
  <c r="X32" i="30" s="1"/>
  <c r="AJ48" i="30"/>
  <c r="AC46" i="31"/>
  <c r="AR54" i="31"/>
  <c r="BA51" i="31"/>
  <c r="V50" i="31"/>
  <c r="W50" i="31" s="1"/>
  <c r="AC47" i="31"/>
  <c r="W54" i="31"/>
  <c r="AI50" i="31"/>
  <c r="Z50" i="31"/>
  <c r="Y45" i="31"/>
  <c r="Z45" i="31" s="1"/>
  <c r="AO53" i="31"/>
  <c r="V48" i="31"/>
  <c r="AL43" i="31"/>
  <c r="AX52" i="31"/>
  <c r="AO34" i="31"/>
  <c r="T26" i="31"/>
  <c r="AI25" i="31"/>
  <c r="AU33" i="31"/>
  <c r="Y32" i="31"/>
  <c r="AI31" i="31"/>
  <c r="W31" i="31"/>
  <c r="AR31" i="31"/>
  <c r="AF30" i="31"/>
  <c r="AK27" i="31"/>
  <c r="AL27" i="31" s="1"/>
  <c r="AX25" i="31"/>
  <c r="AC25" i="31"/>
  <c r="AF25" i="31"/>
  <c r="BA19" i="31"/>
  <c r="AQ42" i="31"/>
  <c r="BA17" i="31"/>
  <c r="AP24" i="30"/>
  <c r="R18" i="30"/>
  <c r="AY21" i="30"/>
  <c r="AV7" i="30"/>
  <c r="AP7" i="30"/>
  <c r="AS14" i="30"/>
  <c r="AM13" i="30"/>
  <c r="AM23" i="30"/>
  <c r="AJ11" i="30"/>
  <c r="AJ19" i="30"/>
  <c r="AG7" i="30"/>
  <c r="AG23" i="30"/>
  <c r="AD11" i="30"/>
  <c r="AD19" i="30"/>
  <c r="AA7" i="30"/>
  <c r="AA15" i="30"/>
  <c r="AA23" i="30"/>
  <c r="U7" i="30"/>
  <c r="U15" i="30"/>
  <c r="R15" i="30"/>
  <c r="AY46" i="30"/>
  <c r="AY25" i="30"/>
  <c r="AY14" i="30"/>
  <c r="AM12" i="30"/>
  <c r="AJ12" i="30"/>
  <c r="AJ24" i="30"/>
  <c r="AG10" i="30"/>
  <c r="AG18" i="30"/>
  <c r="AD8" i="30"/>
  <c r="AD16" i="30"/>
  <c r="AA14" i="30"/>
  <c r="X24" i="30"/>
  <c r="U10" i="30"/>
  <c r="AY23" i="30"/>
  <c r="AS17" i="30"/>
  <c r="AY15" i="30"/>
  <c r="AV13" i="30"/>
  <c r="AS13" i="30"/>
  <c r="AS11" i="30"/>
  <c r="X27" i="30"/>
  <c r="AM21" i="30"/>
  <c r="AH33" i="28"/>
  <c r="AI33" i="28" s="1"/>
  <c r="AS18" i="30"/>
  <c r="AS10" i="30"/>
  <c r="AU12" i="29"/>
  <c r="AO6" i="29"/>
  <c r="X22" i="30"/>
  <c r="AJ22" i="30"/>
  <c r="U20" i="30"/>
  <c r="AG20" i="30"/>
  <c r="AX25" i="29"/>
  <c r="AL6" i="29"/>
  <c r="AY37" i="30"/>
  <c r="AU43" i="27"/>
  <c r="AC15" i="27"/>
  <c r="P41" i="28"/>
  <c r="V41" i="28"/>
  <c r="AK35" i="28"/>
  <c r="P42" i="28"/>
  <c r="V42" i="28"/>
  <c r="AI9" i="28"/>
  <c r="V51" i="28"/>
  <c r="AK38" i="28"/>
  <c r="AL38" i="28" s="1"/>
  <c r="AU39" i="29"/>
  <c r="AY12" i="30"/>
  <c r="R12" i="30"/>
  <c r="AF39" i="30"/>
  <c r="AG39" i="30" s="1"/>
  <c r="AP16" i="30"/>
  <c r="AS7" i="30"/>
  <c r="AP8" i="30"/>
  <c r="AP25" i="30"/>
  <c r="AM15" i="30"/>
  <c r="AM25" i="30"/>
  <c r="AJ13" i="30"/>
  <c r="AJ21" i="30"/>
  <c r="AG9" i="30"/>
  <c r="AG17" i="30"/>
  <c r="AG25" i="30"/>
  <c r="AD13" i="30"/>
  <c r="AD21" i="30"/>
  <c r="AA9" i="30"/>
  <c r="AA17" i="30"/>
  <c r="AA25" i="30"/>
  <c r="U9" i="30"/>
  <c r="U25" i="30"/>
  <c r="R19" i="30"/>
  <c r="AP18" i="30"/>
  <c r="AP28" i="30"/>
  <c r="AM16" i="30"/>
  <c r="AM28" i="30"/>
  <c r="AJ14" i="30"/>
  <c r="AG12" i="30"/>
  <c r="AG24" i="30"/>
  <c r="AD10" i="30"/>
  <c r="AD18" i="30"/>
  <c r="AA8" i="30"/>
  <c r="AA16" i="30"/>
  <c r="U24" i="30"/>
  <c r="R13" i="30"/>
  <c r="AS23" i="30"/>
  <c r="AY19" i="30"/>
  <c r="AV17" i="30"/>
  <c r="AS15" i="30"/>
  <c r="AY13" i="30"/>
  <c r="AE34" i="29"/>
  <c r="AF34" i="29" s="1"/>
  <c r="AY35" i="30"/>
  <c r="AA27" i="30"/>
  <c r="AM27" i="30"/>
  <c r="AY27" i="30"/>
  <c r="R20" i="30"/>
  <c r="AY16" i="30"/>
  <c r="AA22" i="30"/>
  <c r="AM22" i="30"/>
  <c r="AP22" i="30"/>
  <c r="AV22" i="30"/>
  <c r="AJ20" i="30"/>
  <c r="AS20" i="30"/>
  <c r="AV20" i="30"/>
  <c r="AO9" i="29"/>
  <c r="Z9" i="29"/>
  <c r="V48" i="26"/>
  <c r="W48" i="26" s="1"/>
  <c r="P44" i="28"/>
  <c r="Q44" i="28" s="1"/>
  <c r="V44" i="28"/>
  <c r="W44" i="28" s="1"/>
  <c r="AF40" i="28"/>
  <c r="AB40" i="28"/>
  <c r="AC40" i="28" s="1"/>
  <c r="AO31" i="28"/>
  <c r="AX30" i="28"/>
  <c r="AC30" i="28"/>
  <c r="Q41" i="28"/>
  <c r="AR20" i="28"/>
  <c r="AR9" i="28"/>
  <c r="P43" i="28"/>
  <c r="Q43" i="28" s="1"/>
  <c r="V43" i="28"/>
  <c r="W43" i="28" s="1"/>
  <c r="Z40" i="28"/>
  <c r="AH41" i="29"/>
  <c r="AE41" i="29"/>
  <c r="AF41" i="29" s="1"/>
  <c r="AE43" i="29"/>
  <c r="AC10" i="29"/>
  <c r="T8" i="29"/>
  <c r="AT49" i="29"/>
  <c r="AU49" i="29" s="1"/>
  <c r="AQ49" i="29"/>
  <c r="AR49" i="29" s="1"/>
  <c r="R28" i="30"/>
  <c r="AG41" i="30"/>
  <c r="AY41" i="30"/>
  <c r="X35" i="30"/>
  <c r="T41" i="31"/>
  <c r="AO26" i="31"/>
  <c r="AX9" i="31"/>
  <c r="AB23" i="31"/>
  <c r="AC23" i="31" s="1"/>
  <c r="AC10" i="31"/>
  <c r="K52" i="33"/>
  <c r="AS12" i="30"/>
  <c r="AP19" i="30"/>
  <c r="R10" i="30"/>
  <c r="AV24" i="30"/>
  <c r="AY8" i="30"/>
  <c r="AP14" i="30"/>
  <c r="AM9" i="30"/>
  <c r="AM17" i="30"/>
  <c r="AJ7" i="30"/>
  <c r="AJ15" i="30"/>
  <c r="AJ23" i="30"/>
  <c r="AG11" i="30"/>
  <c r="AG19" i="30"/>
  <c r="AD7" i="30"/>
  <c r="AD15" i="30"/>
  <c r="AD23" i="30"/>
  <c r="AA11" i="30"/>
  <c r="AA19" i="30"/>
  <c r="X7" i="30"/>
  <c r="X15" i="30"/>
  <c r="X23" i="30"/>
  <c r="U11" i="30"/>
  <c r="U19" i="30"/>
  <c r="R7" i="30"/>
  <c r="R23" i="30"/>
  <c r="AS25" i="30"/>
  <c r="AV18" i="30"/>
  <c r="AV10" i="30"/>
  <c r="AP21" i="30"/>
  <c r="AM8" i="30"/>
  <c r="AM18" i="30"/>
  <c r="AJ8" i="30"/>
  <c r="AJ16" i="30"/>
  <c r="AJ28" i="30"/>
  <c r="AG14" i="30"/>
  <c r="AD12" i="30"/>
  <c r="AD24" i="30"/>
  <c r="AA10" i="30"/>
  <c r="AA18" i="30"/>
  <c r="X28" i="30"/>
  <c r="U14" i="30"/>
  <c r="R17" i="30"/>
  <c r="AV23" i="30"/>
  <c r="AS19" i="30"/>
  <c r="AY17" i="30"/>
  <c r="AY11" i="30"/>
  <c r="AV9" i="30"/>
  <c r="AP9" i="30"/>
  <c r="R27" i="30"/>
  <c r="AD27" i="30"/>
  <c r="AP27" i="30"/>
  <c r="AS27" i="30"/>
  <c r="AM14" i="30"/>
  <c r="AU16" i="29"/>
  <c r="AC9" i="29"/>
  <c r="AD22" i="30"/>
  <c r="AS22" i="30"/>
  <c r="AY22" i="30"/>
  <c r="AA20" i="30"/>
  <c r="AM20" i="30"/>
  <c r="AY20" i="30"/>
  <c r="AX9" i="29"/>
  <c r="AN11" i="29"/>
  <c r="AO11" i="29" s="1"/>
  <c r="AX6" i="29"/>
  <c r="AX54" i="27"/>
  <c r="K54" i="27" s="1"/>
  <c r="M54" i="27" s="1"/>
  <c r="S17" i="28"/>
  <c r="T17" i="28" s="1"/>
  <c r="AO15" i="27"/>
  <c r="AQ13" i="27"/>
  <c r="AR13" i="27" s="1"/>
  <c r="Q28" i="27"/>
  <c r="V14" i="27"/>
  <c r="W14" i="27" s="1"/>
  <c r="W8" i="27"/>
  <c r="AF8" i="27"/>
  <c r="AU52" i="27"/>
  <c r="AI46" i="28"/>
  <c r="T30" i="28"/>
  <c r="AL30" i="28"/>
  <c r="Q25" i="28"/>
  <c r="AC41" i="28"/>
  <c r="AL17" i="28"/>
  <c r="AO9" i="28"/>
  <c r="AK10" i="28"/>
  <c r="AU14" i="28"/>
  <c r="AC36" i="28"/>
  <c r="S50" i="29"/>
  <c r="AC51" i="29"/>
  <c r="AL30" i="29"/>
  <c r="W47" i="29"/>
  <c r="AK37" i="29"/>
  <c r="AH33" i="29"/>
  <c r="AE33" i="29"/>
  <c r="AR19" i="29"/>
  <c r="W19" i="29"/>
  <c r="AU15" i="29"/>
  <c r="AU24" i="29"/>
  <c r="V22" i="29"/>
  <c r="AO10" i="29"/>
  <c r="Z10" i="29"/>
  <c r="AI7" i="29"/>
  <c r="AH44" i="29"/>
  <c r="AI44" i="29" s="1"/>
  <c r="AE44" i="29"/>
  <c r="AF44" i="29" s="1"/>
  <c r="Q42" i="29"/>
  <c r="AM49" i="30"/>
  <c r="AP34" i="30"/>
  <c r="AG44" i="30"/>
  <c r="AP15" i="30"/>
  <c r="AO40" i="30"/>
  <c r="AS8" i="30"/>
  <c r="R8" i="30"/>
  <c r="Y44" i="31"/>
  <c r="T54" i="31"/>
  <c r="AL50" i="31"/>
  <c r="AF54" i="31"/>
  <c r="AR53" i="31"/>
  <c r="AI52" i="31"/>
  <c r="W52" i="31"/>
  <c r="AR52" i="31"/>
  <c r="T48" i="31"/>
  <c r="Z48" i="31"/>
  <c r="AO30" i="31"/>
  <c r="Z26" i="31"/>
  <c r="AO25" i="31"/>
  <c r="BA35" i="31"/>
  <c r="AO31" i="31"/>
  <c r="AC30" i="31"/>
  <c r="AI26" i="31"/>
  <c r="AE26" i="31"/>
  <c r="AF26" i="31" s="1"/>
  <c r="K26" i="31" s="1"/>
  <c r="O26" i="31" s="1"/>
  <c r="AR25" i="31"/>
  <c r="AI35" i="31"/>
  <c r="AX33" i="31"/>
  <c r="AF28" i="31"/>
  <c r="W27" i="31"/>
  <c r="K27" i="31" s="1"/>
  <c r="AO9" i="31"/>
  <c r="AO10" i="31"/>
  <c r="K8" i="33"/>
  <c r="AQ40" i="31"/>
  <c r="BA11" i="31"/>
  <c r="AS28" i="30"/>
  <c r="R14" i="30"/>
  <c r="AV28" i="30"/>
  <c r="AV21" i="30"/>
  <c r="AP17" i="30"/>
  <c r="AM11" i="30"/>
  <c r="AM19" i="30"/>
  <c r="AJ17" i="30"/>
  <c r="AJ25" i="30"/>
  <c r="AG13" i="30"/>
  <c r="AG21" i="30"/>
  <c r="AD9" i="30"/>
  <c r="AD17" i="30"/>
  <c r="AD25" i="30"/>
  <c r="AA13" i="30"/>
  <c r="AA21" i="30"/>
  <c r="X25" i="30"/>
  <c r="U21" i="30"/>
  <c r="R11" i="30"/>
  <c r="AV25" i="30"/>
  <c r="AY18" i="30"/>
  <c r="AV16" i="30"/>
  <c r="AV14" i="30"/>
  <c r="AV12" i="30"/>
  <c r="AY10" i="30"/>
  <c r="AV8" i="30"/>
  <c r="AM24" i="30"/>
  <c r="AJ10" i="30"/>
  <c r="AJ18" i="30"/>
  <c r="AG8" i="30"/>
  <c r="AG16" i="30"/>
  <c r="AG28" i="30"/>
  <c r="AA12" i="30"/>
  <c r="AA24" i="30"/>
  <c r="X10" i="30"/>
  <c r="U16" i="30"/>
  <c r="U28" i="30"/>
  <c r="AY48" i="30"/>
  <c r="AV11" i="30"/>
  <c r="AY9" i="30"/>
  <c r="AY49" i="30"/>
  <c r="AY39" i="30"/>
  <c r="U27" i="30"/>
  <c r="AG27" i="30"/>
  <c r="AY24" i="30"/>
  <c r="AP12" i="30"/>
  <c r="AV6" i="30"/>
  <c r="W16" i="29"/>
  <c r="AG22" i="30"/>
  <c r="AD20" i="30"/>
  <c r="S34" i="29"/>
  <c r="T34" i="29" s="1"/>
  <c r="AO21" i="29"/>
  <c r="AH9" i="29"/>
  <c r="AI9" i="29" s="1"/>
  <c r="AR6" i="29"/>
  <c r="AU6" i="29" s="1"/>
  <c r="Z23" i="28"/>
  <c r="AK7" i="28"/>
  <c r="AL7" i="28" s="1"/>
  <c r="AX19" i="28"/>
  <c r="P43" i="27"/>
  <c r="Q43" i="27" s="1"/>
  <c r="V43" i="27"/>
  <c r="W43" i="27" s="1"/>
  <c r="K43" i="27" s="1"/>
  <c r="M43" i="27" s="1"/>
  <c r="V13" i="27"/>
  <c r="W13" i="27" s="1"/>
  <c r="K43" i="33"/>
  <c r="O43" i="33" s="1"/>
  <c r="K25" i="33"/>
  <c r="K21" i="33"/>
  <c r="M21" i="33" s="1"/>
  <c r="K40" i="33"/>
  <c r="M40" i="33" s="1"/>
  <c r="K9" i="33"/>
  <c r="O9" i="33" s="1"/>
  <c r="K36" i="33"/>
  <c r="K19" i="33"/>
  <c r="O19" i="33" s="1"/>
  <c r="K38" i="33"/>
  <c r="K47" i="33"/>
  <c r="O47" i="33" s="1"/>
  <c r="K31" i="33"/>
  <c r="O31" i="33" s="1"/>
  <c r="K46" i="33"/>
  <c r="Q46" i="33" s="1"/>
  <c r="K24" i="33"/>
  <c r="K32" i="33"/>
  <c r="K44" i="33"/>
  <c r="O44" i="33" s="1"/>
  <c r="K41" i="33"/>
  <c r="M41" i="33" s="1"/>
  <c r="K39" i="33"/>
  <c r="M39" i="33" s="1"/>
  <c r="K35" i="33"/>
  <c r="Q35" i="33" s="1"/>
  <c r="K34" i="33"/>
  <c r="Q34" i="33" s="1"/>
  <c r="K30" i="33"/>
  <c r="K30" i="32"/>
  <c r="Q30" i="32" s="1"/>
  <c r="K11" i="32"/>
  <c r="K32" i="32"/>
  <c r="Q32" i="32" s="1"/>
  <c r="K48" i="32"/>
  <c r="Q48" i="32" s="1"/>
  <c r="K10" i="32"/>
  <c r="K18" i="32"/>
  <c r="M41" i="34"/>
  <c r="O41" i="34"/>
  <c r="O8" i="34"/>
  <c r="M8" i="34"/>
  <c r="O12" i="34"/>
  <c r="M12" i="34"/>
  <c r="O21" i="34"/>
  <c r="M21" i="34"/>
  <c r="M39" i="34"/>
  <c r="O39" i="34"/>
  <c r="O6" i="34"/>
  <c r="M6" i="34"/>
  <c r="O47" i="34"/>
  <c r="M47" i="34"/>
  <c r="O34" i="34"/>
  <c r="M34" i="34"/>
  <c r="O10" i="34"/>
  <c r="M10" i="34"/>
  <c r="O52" i="34"/>
  <c r="M52" i="34"/>
  <c r="M7" i="34"/>
  <c r="O7" i="34"/>
  <c r="O30" i="34"/>
  <c r="M30" i="34"/>
  <c r="O42" i="34"/>
  <c r="M42" i="34"/>
  <c r="O40" i="34"/>
  <c r="M40" i="34"/>
  <c r="M36" i="34"/>
  <c r="O36" i="34"/>
  <c r="O32" i="34"/>
  <c r="M32" i="34"/>
  <c r="O44" i="34"/>
  <c r="M44" i="34"/>
  <c r="O46" i="34"/>
  <c r="M46" i="34"/>
  <c r="M43" i="34"/>
  <c r="O43" i="34"/>
  <c r="O38" i="34"/>
  <c r="M38" i="34"/>
  <c r="M33" i="34"/>
  <c r="O33" i="34"/>
  <c r="O34" i="33"/>
  <c r="O21" i="33"/>
  <c r="M35" i="33"/>
  <c r="O35" i="33"/>
  <c r="M9" i="33"/>
  <c r="M25" i="33"/>
  <c r="O25" i="33"/>
  <c r="M11" i="33"/>
  <c r="O11" i="33"/>
  <c r="O46" i="33"/>
  <c r="K45" i="33"/>
  <c r="M19" i="33"/>
  <c r="K7" i="33"/>
  <c r="K49" i="33"/>
  <c r="K22" i="33"/>
  <c r="Q37" i="33"/>
  <c r="O37" i="33"/>
  <c r="M37" i="33"/>
  <c r="K6" i="33"/>
  <c r="K14" i="33"/>
  <c r="K27" i="33"/>
  <c r="Q48" i="33"/>
  <c r="M48" i="33"/>
  <c r="O48" i="33"/>
  <c r="K26" i="33"/>
  <c r="K50" i="33"/>
  <c r="K16" i="33"/>
  <c r="O24" i="33"/>
  <c r="M24" i="33"/>
  <c r="M28" i="33"/>
  <c r="O28" i="33"/>
  <c r="Q52" i="33"/>
  <c r="M52" i="33"/>
  <c r="O52" i="33"/>
  <c r="K17" i="33"/>
  <c r="O8" i="33"/>
  <c r="M8" i="33"/>
  <c r="K53" i="33"/>
  <c r="O51" i="33"/>
  <c r="Q51" i="33"/>
  <c r="M51" i="33"/>
  <c r="M47" i="33"/>
  <c r="K13" i="33"/>
  <c r="K42" i="33"/>
  <c r="K18" i="33"/>
  <c r="K10" i="33"/>
  <c r="K23" i="33"/>
  <c r="K20" i="33"/>
  <c r="Q33" i="33"/>
  <c r="M33" i="33"/>
  <c r="O33" i="33"/>
  <c r="K54" i="33"/>
  <c r="K15" i="33"/>
  <c r="K12" i="33"/>
  <c r="M43" i="33"/>
  <c r="K33" i="32"/>
  <c r="K44" i="32"/>
  <c r="Q44" i="32" s="1"/>
  <c r="O11" i="32"/>
  <c r="M11" i="32"/>
  <c r="K26" i="32"/>
  <c r="K21" i="32"/>
  <c r="O21" i="32" s="1"/>
  <c r="K23" i="32"/>
  <c r="O23" i="32" s="1"/>
  <c r="K25" i="32"/>
  <c r="O25" i="32" s="1"/>
  <c r="K14" i="32"/>
  <c r="M14" i="32" s="1"/>
  <c r="K9" i="32"/>
  <c r="K15" i="32"/>
  <c r="M15" i="32" s="1"/>
  <c r="K53" i="32"/>
  <c r="Q53" i="32" s="1"/>
  <c r="O14" i="32"/>
  <c r="O47" i="32"/>
  <c r="M47" i="32"/>
  <c r="M18" i="32"/>
  <c r="O18" i="32"/>
  <c r="O15" i="32"/>
  <c r="O50" i="32"/>
  <c r="M50" i="32"/>
  <c r="O48" i="32"/>
  <c r="M48" i="32"/>
  <c r="M21" i="32"/>
  <c r="O7" i="32"/>
  <c r="M7" i="32"/>
  <c r="M44" i="32"/>
  <c r="K39" i="32"/>
  <c r="Q39" i="32" s="1"/>
  <c r="K43" i="32"/>
  <c r="Q43" i="32" s="1"/>
  <c r="K24" i="32"/>
  <c r="K22" i="32"/>
  <c r="W6" i="32"/>
  <c r="X6" i="32" s="1"/>
  <c r="U6" i="32"/>
  <c r="K19" i="32"/>
  <c r="K27" i="32"/>
  <c r="K35" i="32"/>
  <c r="Q35" i="32" s="1"/>
  <c r="K41" i="32"/>
  <c r="Q41" i="32" s="1"/>
  <c r="K51" i="32"/>
  <c r="Q51" i="32" s="1"/>
  <c r="K31" i="32"/>
  <c r="Q31" i="32" s="1"/>
  <c r="M42" i="32"/>
  <c r="O42" i="32"/>
  <c r="K54" i="32"/>
  <c r="Q54" i="32" s="1"/>
  <c r="K13" i="32"/>
  <c r="O8" i="32"/>
  <c r="M8" i="32"/>
  <c r="K34" i="32"/>
  <c r="Q34" i="32" s="1"/>
  <c r="K20" i="32"/>
  <c r="O49" i="32"/>
  <c r="M49" i="32"/>
  <c r="K52" i="32"/>
  <c r="Q52" i="32" s="1"/>
  <c r="M40" i="32"/>
  <c r="O40" i="32"/>
  <c r="O32" i="32"/>
  <c r="K45" i="32"/>
  <c r="Q45" i="32" s="1"/>
  <c r="O10" i="32"/>
  <c r="M10" i="32"/>
  <c r="M36" i="32"/>
  <c r="O36" i="32"/>
  <c r="M33" i="32"/>
  <c r="O9" i="32"/>
  <c r="M9" i="32"/>
  <c r="K17" i="32"/>
  <c r="O12" i="32"/>
  <c r="M12" i="32"/>
  <c r="O26" i="32"/>
  <c r="M26" i="32"/>
  <c r="K28" i="32"/>
  <c r="K37" i="32"/>
  <c r="Q37" i="32" s="1"/>
  <c r="K38" i="32"/>
  <c r="Q38" i="32" s="1"/>
  <c r="M16" i="32"/>
  <c r="O16" i="32"/>
  <c r="K46" i="32"/>
  <c r="Q46" i="32" s="1"/>
  <c r="AF41" i="31"/>
  <c r="AI41" i="31"/>
  <c r="W41" i="31"/>
  <c r="AH39" i="31"/>
  <c r="AL35" i="31"/>
  <c r="Y35" i="31"/>
  <c r="AI33" i="31"/>
  <c r="T31" i="31"/>
  <c r="BA30" i="31"/>
  <c r="AL30" i="31"/>
  <c r="AO46" i="31"/>
  <c r="AI46" i="31"/>
  <c r="W46" i="31"/>
  <c r="BA46" i="31"/>
  <c r="AU46" i="31"/>
  <c r="AF46" i="31"/>
  <c r="Z46" i="31"/>
  <c r="T46" i="31"/>
  <c r="AK54" i="31"/>
  <c r="AL54" i="31" s="1"/>
  <c r="Z51" i="31"/>
  <c r="AL51" i="31"/>
  <c r="AC50" i="31"/>
  <c r="AR50" i="31"/>
  <c r="AX43" i="31"/>
  <c r="AC43" i="31"/>
  <c r="AX41" i="31"/>
  <c r="Y41" i="31"/>
  <c r="Z41" i="31" s="1"/>
  <c r="AU41" i="31"/>
  <c r="W53" i="31"/>
  <c r="AI53" i="31"/>
  <c r="AC53" i="31"/>
  <c r="Z49" i="31"/>
  <c r="AL49" i="31"/>
  <c r="AF49" i="31"/>
  <c r="BA52" i="31"/>
  <c r="AU52" i="31"/>
  <c r="AF52" i="31"/>
  <c r="AC52" i="31"/>
  <c r="AI48" i="31"/>
  <c r="W48" i="31"/>
  <c r="AL48" i="31"/>
  <c r="AX47" i="31"/>
  <c r="V47" i="31"/>
  <c r="BA43" i="31"/>
  <c r="AF43" i="31"/>
  <c r="BA47" i="31"/>
  <c r="V39" i="31"/>
  <c r="AU39" i="31"/>
  <c r="AX31" i="31"/>
  <c r="AC28" i="31"/>
  <c r="Z28" i="31"/>
  <c r="AX26" i="31"/>
  <c r="T25" i="31"/>
  <c r="AR35" i="31"/>
  <c r="S33" i="31"/>
  <c r="T33" i="31" s="1"/>
  <c r="Y33" i="31"/>
  <c r="AL25" i="31"/>
  <c r="Y37" i="31"/>
  <c r="Z37" i="31" s="1"/>
  <c r="V37" i="31"/>
  <c r="W37" i="31" s="1"/>
  <c r="BA26" i="31"/>
  <c r="AU25" i="31"/>
  <c r="V25" i="31"/>
  <c r="W25" i="31" s="1"/>
  <c r="AO22" i="31"/>
  <c r="AO20" i="31"/>
  <c r="AU14" i="31"/>
  <c r="T14" i="31"/>
  <c r="AI14" i="31"/>
  <c r="AX14" i="31"/>
  <c r="AR14" i="31"/>
  <c r="W14" i="31"/>
  <c r="AL14" i="31"/>
  <c r="AF14" i="31"/>
  <c r="AU12" i="31"/>
  <c r="T12" i="31"/>
  <c r="AI12" i="31"/>
  <c r="AX12" i="31"/>
  <c r="AR12" i="31"/>
  <c r="W12" i="31"/>
  <c r="AL12" i="31"/>
  <c r="AF12" i="31"/>
  <c r="Y7" i="31"/>
  <c r="Y22" i="31"/>
  <c r="Y12" i="31"/>
  <c r="Z12" i="31" s="1"/>
  <c r="T7" i="31"/>
  <c r="AI9" i="31"/>
  <c r="AI7" i="31"/>
  <c r="AU6" i="31"/>
  <c r="AI6" i="31"/>
  <c r="W6" i="31"/>
  <c r="AX6" i="31"/>
  <c r="AL6" i="31"/>
  <c r="Z6" i="31"/>
  <c r="AR6" i="31"/>
  <c r="AF6" i="31"/>
  <c r="T6" i="31"/>
  <c r="V17" i="31"/>
  <c r="W17" i="31" s="1"/>
  <c r="V21" i="31"/>
  <c r="W21" i="31" s="1"/>
  <c r="AI44" i="31"/>
  <c r="AX44" i="31"/>
  <c r="AR44" i="31"/>
  <c r="W44" i="31"/>
  <c r="AL44" i="31"/>
  <c r="AF44" i="31"/>
  <c r="AU44" i="31"/>
  <c r="Z44" i="31"/>
  <c r="T44" i="31"/>
  <c r="AI42" i="31"/>
  <c r="AX42" i="31"/>
  <c r="AR42" i="31"/>
  <c r="W42" i="31"/>
  <c r="AL42" i="31"/>
  <c r="AF42" i="31"/>
  <c r="AU42" i="31"/>
  <c r="Z42" i="31"/>
  <c r="T42" i="31"/>
  <c r="AI40" i="31"/>
  <c r="AL40" i="31"/>
  <c r="AF40" i="31"/>
  <c r="AU40" i="31"/>
  <c r="Z40" i="31"/>
  <c r="T40" i="31"/>
  <c r="W40" i="31"/>
  <c r="AR40" i="31"/>
  <c r="AX40" i="31"/>
  <c r="AL38" i="31"/>
  <c r="AU38" i="31"/>
  <c r="Z38" i="31"/>
  <c r="T38" i="31"/>
  <c r="AX38" i="31"/>
  <c r="AI38" i="31"/>
  <c r="W38" i="31"/>
  <c r="AR38" i="31"/>
  <c r="AF38" i="31"/>
  <c r="AU36" i="31"/>
  <c r="T36" i="31"/>
  <c r="AI36" i="31"/>
  <c r="W36" i="31"/>
  <c r="AR36" i="31"/>
  <c r="AX36" i="31"/>
  <c r="AL36" i="31"/>
  <c r="AF36" i="31"/>
  <c r="AR51" i="31"/>
  <c r="W49" i="31"/>
  <c r="AI49" i="31"/>
  <c r="AI51" i="31"/>
  <c r="AQ47" i="31"/>
  <c r="AR47" i="31" s="1"/>
  <c r="Z43" i="31"/>
  <c r="AU34" i="31"/>
  <c r="Z34" i="31"/>
  <c r="T34" i="31"/>
  <c r="AI34" i="31"/>
  <c r="AX34" i="31"/>
  <c r="AR34" i="31"/>
  <c r="W34" i="31"/>
  <c r="AL34" i="31"/>
  <c r="AF34" i="31"/>
  <c r="AU32" i="31"/>
  <c r="Z32" i="31"/>
  <c r="T32" i="31"/>
  <c r="AI32" i="31"/>
  <c r="AX32" i="31"/>
  <c r="AR32" i="31"/>
  <c r="W32" i="31"/>
  <c r="AL32" i="31"/>
  <c r="AF32" i="31"/>
  <c r="BA40" i="31"/>
  <c r="AI39" i="31"/>
  <c r="AX39" i="31"/>
  <c r="BA34" i="31"/>
  <c r="BA32" i="31"/>
  <c r="BA33" i="31"/>
  <c r="AF33" i="31"/>
  <c r="Z33" i="31"/>
  <c r="AF31" i="31"/>
  <c r="AU24" i="31"/>
  <c r="AO24" i="31"/>
  <c r="AF24" i="31"/>
  <c r="T24" i="31"/>
  <c r="AI24" i="31"/>
  <c r="AR24" i="31"/>
  <c r="Z24" i="31"/>
  <c r="W24" i="31"/>
  <c r="AX24" i="31"/>
  <c r="AU22" i="31"/>
  <c r="Z22" i="31"/>
  <c r="T22" i="31"/>
  <c r="AI22" i="31"/>
  <c r="AX22" i="31"/>
  <c r="AR22" i="31"/>
  <c r="W22" i="31"/>
  <c r="AL22" i="31"/>
  <c r="AF22" i="31"/>
  <c r="AU20" i="31"/>
  <c r="Z20" i="31"/>
  <c r="T20" i="31"/>
  <c r="AI20" i="31"/>
  <c r="AX20" i="31"/>
  <c r="AR20" i="31"/>
  <c r="W20" i="31"/>
  <c r="AL20" i="31"/>
  <c r="AF20" i="31"/>
  <c r="AU18" i="31"/>
  <c r="Z18" i="31"/>
  <c r="T18" i="31"/>
  <c r="AI18" i="31"/>
  <c r="AX18" i="31"/>
  <c r="AR18" i="31"/>
  <c r="W18" i="31"/>
  <c r="AL18" i="31"/>
  <c r="AF18" i="31"/>
  <c r="AU16" i="31"/>
  <c r="Z16" i="31"/>
  <c r="T16" i="31"/>
  <c r="AI16" i="31"/>
  <c r="AX16" i="31"/>
  <c r="AR16" i="31"/>
  <c r="W16" i="31"/>
  <c r="AL16" i="31"/>
  <c r="AF16" i="31"/>
  <c r="AK9" i="31"/>
  <c r="AF7" i="31"/>
  <c r="K23" i="31"/>
  <c r="O23" i="31" s="1"/>
  <c r="K11" i="31"/>
  <c r="O11" i="31" s="1"/>
  <c r="AU10" i="31"/>
  <c r="AI10" i="31"/>
  <c r="W10" i="31"/>
  <c r="AL10" i="31"/>
  <c r="Z10" i="31"/>
  <c r="AR10" i="31"/>
  <c r="AF10" i="31"/>
  <c r="T10" i="31"/>
  <c r="AU9" i="31"/>
  <c r="AC8" i="31"/>
  <c r="AU7" i="31"/>
  <c r="Z7" i="31"/>
  <c r="BA9" i="31"/>
  <c r="V15" i="31"/>
  <c r="W15" i="31" s="1"/>
  <c r="K15" i="31" s="1"/>
  <c r="O15" i="31" s="1"/>
  <c r="AO51" i="31"/>
  <c r="AF47" i="31"/>
  <c r="AN41" i="31"/>
  <c r="AO41" i="31" s="1"/>
  <c r="AO49" i="31"/>
  <c r="AB49" i="31"/>
  <c r="AC49" i="31" s="1"/>
  <c r="T49" i="31"/>
  <c r="AR41" i="31"/>
  <c r="Y54" i="31"/>
  <c r="Z54" i="31" s="1"/>
  <c r="K54" i="31" s="1"/>
  <c r="O54" i="31" s="1"/>
  <c r="AC51" i="31"/>
  <c r="AI47" i="31"/>
  <c r="V43" i="31"/>
  <c r="W43" i="31" s="1"/>
  <c r="K43" i="31" s="1"/>
  <c r="O43" i="31" s="1"/>
  <c r="BA39" i="31"/>
  <c r="AL39" i="31"/>
  <c r="W39" i="31"/>
  <c r="Y36" i="31"/>
  <c r="Z36" i="31" s="1"/>
  <c r="BA53" i="31"/>
  <c r="Y30" i="31"/>
  <c r="Z30" i="31" s="1"/>
  <c r="S30" i="31"/>
  <c r="T30" i="31" s="1"/>
  <c r="AC39" i="31"/>
  <c r="AH30" i="31"/>
  <c r="AI30" i="31" s="1"/>
  <c r="BA38" i="31"/>
  <c r="AL33" i="31"/>
  <c r="BA31" i="31"/>
  <c r="K31" i="31" s="1"/>
  <c r="O31" i="31" s="1"/>
  <c r="V30" i="31"/>
  <c r="W30" i="31" s="1"/>
  <c r="V26" i="31"/>
  <c r="W26" i="31" s="1"/>
  <c r="AC24" i="31"/>
  <c r="AL24" i="31"/>
  <c r="AC18" i="31"/>
  <c r="V35" i="31"/>
  <c r="W35" i="31" s="1"/>
  <c r="AF9" i="31"/>
  <c r="K19" i="31"/>
  <c r="O19" i="31" s="1"/>
  <c r="K17" i="31"/>
  <c r="O17" i="31" s="1"/>
  <c r="BA14" i="31"/>
  <c r="BA12" i="31"/>
  <c r="V33" i="31"/>
  <c r="W33" i="31" s="1"/>
  <c r="AL9" i="31"/>
  <c r="Y9" i="31"/>
  <c r="Z9" i="31" s="1"/>
  <c r="S9" i="31"/>
  <c r="T9" i="31" s="1"/>
  <c r="AL7" i="31"/>
  <c r="BA7" i="31"/>
  <c r="V13" i="31"/>
  <c r="W13" i="31" s="1"/>
  <c r="K13" i="31" s="1"/>
  <c r="O13" i="31" s="1"/>
  <c r="AC44" i="31"/>
  <c r="AC42" i="31"/>
  <c r="AC40" i="31"/>
  <c r="AC38" i="31"/>
  <c r="AC36" i="31"/>
  <c r="T51" i="31"/>
  <c r="AO47" i="31"/>
  <c r="T47" i="31"/>
  <c r="BA44" i="31"/>
  <c r="BA42" i="31"/>
  <c r="AK53" i="31"/>
  <c r="AL53" i="31" s="1"/>
  <c r="K53" i="31" s="1"/>
  <c r="O53" i="31" s="1"/>
  <c r="AE51" i="31"/>
  <c r="AF51" i="31" s="1"/>
  <c r="AR49" i="31"/>
  <c r="W47" i="31"/>
  <c r="AX51" i="31"/>
  <c r="V51" i="31"/>
  <c r="W51" i="31" s="1"/>
  <c r="BA48" i="31"/>
  <c r="AU48" i="31"/>
  <c r="AF48" i="31"/>
  <c r="AC48" i="31"/>
  <c r="AR48" i="31"/>
  <c r="AX48" i="31"/>
  <c r="V45" i="31"/>
  <c r="W45" i="31" s="1"/>
  <c r="K45" i="31" s="1"/>
  <c r="O45" i="31" s="1"/>
  <c r="BA41" i="31"/>
  <c r="AC34" i="31"/>
  <c r="AC32" i="31"/>
  <c r="AR39" i="31"/>
  <c r="BA50" i="31"/>
  <c r="K50" i="31" s="1"/>
  <c r="O50" i="31" s="1"/>
  <c r="S39" i="31"/>
  <c r="T39" i="31" s="1"/>
  <c r="Y39" i="31"/>
  <c r="Z39" i="31" s="1"/>
  <c r="K37" i="31"/>
  <c r="O37" i="31" s="1"/>
  <c r="BA36" i="31"/>
  <c r="Z35" i="31"/>
  <c r="BA28" i="31"/>
  <c r="BA25" i="31"/>
  <c r="AC22" i="31"/>
  <c r="AC20" i="31"/>
  <c r="AC16" i="31"/>
  <c r="AC9" i="31"/>
  <c r="AC7" i="31"/>
  <c r="Y14" i="31"/>
  <c r="Z14" i="31" s="1"/>
  <c r="AR9" i="31"/>
  <c r="AR7" i="31"/>
  <c r="K21" i="31"/>
  <c r="O21" i="31" s="1"/>
  <c r="BA18" i="31"/>
  <c r="BA16" i="31"/>
  <c r="W9" i="31"/>
  <c r="AU8" i="31"/>
  <c r="AI8" i="31"/>
  <c r="W8" i="31"/>
  <c r="AX8" i="31"/>
  <c r="AL8" i="31"/>
  <c r="AR8" i="31"/>
  <c r="AF8" i="31"/>
  <c r="T8" i="31"/>
  <c r="AN7" i="31"/>
  <c r="AO7" i="31" s="1"/>
  <c r="W7" i="31"/>
  <c r="BA8" i="31"/>
  <c r="Y8" i="31"/>
  <c r="Z8" i="31" s="1"/>
  <c r="BA6" i="31"/>
  <c r="AM35" i="30"/>
  <c r="AD53" i="30"/>
  <c r="AJ47" i="30"/>
  <c r="AA40" i="30"/>
  <c r="X36" i="30"/>
  <c r="W20" i="30"/>
  <c r="AP33" i="30"/>
  <c r="AO11" i="30"/>
  <c r="AP11" i="30" s="1"/>
  <c r="W12" i="30"/>
  <c r="X12" i="30" s="1"/>
  <c r="AO36" i="30"/>
  <c r="AS43" i="30"/>
  <c r="AI27" i="30"/>
  <c r="AJ27" i="30" s="1"/>
  <c r="AL10" i="30"/>
  <c r="AM10" i="30" s="1"/>
  <c r="T30" i="30"/>
  <c r="U30" i="30" s="1"/>
  <c r="AM52" i="30"/>
  <c r="AJ52" i="30"/>
  <c r="AV32" i="30"/>
  <c r="AD35" i="30"/>
  <c r="AF15" i="30"/>
  <c r="AG15" i="30" s="1"/>
  <c r="AF30" i="30"/>
  <c r="AG30" i="30" s="1"/>
  <c r="AG6" i="30"/>
  <c r="AP46" i="30"/>
  <c r="R46" i="30"/>
  <c r="T8" i="30"/>
  <c r="U8" i="30" s="1"/>
  <c r="AD51" i="30"/>
  <c r="AM38" i="30"/>
  <c r="AG38" i="30"/>
  <c r="AS36" i="30"/>
  <c r="U36" i="30"/>
  <c r="AD6" i="30"/>
  <c r="T12" i="30"/>
  <c r="U12" i="30" s="1"/>
  <c r="AM47" i="30"/>
  <c r="AG47" i="30"/>
  <c r="AJ49" i="30"/>
  <c r="U38" i="30"/>
  <c r="U49" i="30"/>
  <c r="AV49" i="30"/>
  <c r="AV38" i="30"/>
  <c r="AJ36" i="30"/>
  <c r="AV34" i="30"/>
  <c r="AA34" i="30"/>
  <c r="AJ53" i="30"/>
  <c r="AS53" i="30"/>
  <c r="AM44" i="30"/>
  <c r="AJ43" i="30"/>
  <c r="AV43" i="30"/>
  <c r="AS34" i="30"/>
  <c r="K25" i="30"/>
  <c r="AJ38" i="30"/>
  <c r="X49" i="30"/>
  <c r="U40" i="30"/>
  <c r="AJ40" i="30"/>
  <c r="AS40" i="30"/>
  <c r="AV40" i="30"/>
  <c r="AS44" i="30"/>
  <c r="AP41" i="30"/>
  <c r="R41" i="30"/>
  <c r="U41" i="30"/>
  <c r="AD41" i="30"/>
  <c r="AM32" i="30"/>
  <c r="R35" i="30"/>
  <c r="AP35" i="30"/>
  <c r="AS35" i="30"/>
  <c r="AM33" i="30"/>
  <c r="AD33" i="30"/>
  <c r="AS33" i="30"/>
  <c r="AD34" i="30"/>
  <c r="AP45" i="30"/>
  <c r="AG45" i="30"/>
  <c r="W13" i="30"/>
  <c r="X13" i="30" s="1"/>
  <c r="R37" i="30"/>
  <c r="AM37" i="30"/>
  <c r="AV37" i="30"/>
  <c r="AA51" i="30"/>
  <c r="X51" i="30"/>
  <c r="X34" i="30"/>
  <c r="T18" i="30"/>
  <c r="U18" i="30" s="1"/>
  <c r="AA47" i="30"/>
  <c r="R47" i="30"/>
  <c r="AS47" i="30"/>
  <c r="AG34" i="30"/>
  <c r="R36" i="30"/>
  <c r="AJ51" i="30"/>
  <c r="AV51" i="30"/>
  <c r="AG51" i="30"/>
  <c r="AD49" i="30"/>
  <c r="AG49" i="30"/>
  <c r="AD36" i="30"/>
  <c r="AM36" i="30"/>
  <c r="AD38" i="30"/>
  <c r="AA43" i="30"/>
  <c r="AA50" i="30"/>
  <c r="U44" i="30"/>
  <c r="U53" i="30"/>
  <c r="AM53" i="30"/>
  <c r="AG53" i="30"/>
  <c r="AJ50" i="30"/>
  <c r="AD46" i="30"/>
  <c r="AV46" i="30"/>
  <c r="AA44" i="30"/>
  <c r="AP44" i="30"/>
  <c r="AM43" i="30"/>
  <c r="AJ46" i="30"/>
  <c r="AD43" i="30"/>
  <c r="AA36" i="30"/>
  <c r="R44" i="30"/>
  <c r="R52" i="30"/>
  <c r="AS52" i="30"/>
  <c r="U52" i="30"/>
  <c r="AV52" i="30"/>
  <c r="AP52" i="30"/>
  <c r="AM40" i="30"/>
  <c r="W31" i="30"/>
  <c r="X31" i="30" s="1"/>
  <c r="AM41" i="30"/>
  <c r="AA41" i="30"/>
  <c r="AV41" i="30"/>
  <c r="R32" i="30"/>
  <c r="AP32" i="30"/>
  <c r="AP38" i="30"/>
  <c r="AA35" i="30"/>
  <c r="AV33" i="30"/>
  <c r="AI9" i="30"/>
  <c r="AJ9" i="30" s="1"/>
  <c r="R45" i="30"/>
  <c r="AA37" i="30"/>
  <c r="AP37" i="30"/>
  <c r="AA49" i="30"/>
  <c r="X53" i="30"/>
  <c r="X40" i="30"/>
  <c r="AM6" i="30"/>
  <c r="AI54" i="30"/>
  <c r="AJ54" i="30" s="1"/>
  <c r="K54" i="30" s="1"/>
  <c r="AM51" i="30"/>
  <c r="AS51" i="30"/>
  <c r="AV50" i="30"/>
  <c r="AS49" i="30"/>
  <c r="AM46" i="30"/>
  <c r="AS38" i="30"/>
  <c r="AV36" i="30"/>
  <c r="AP36" i="30"/>
  <c r="X46" i="30"/>
  <c r="R53" i="30"/>
  <c r="AP53" i="30"/>
  <c r="AV53" i="30"/>
  <c r="X50" i="30"/>
  <c r="AM50" i="30"/>
  <c r="AS50" i="30"/>
  <c r="AG46" i="30"/>
  <c r="AD44" i="30"/>
  <c r="R43" i="30"/>
  <c r="AP43" i="30"/>
  <c r="X43" i="30"/>
  <c r="AG43" i="30"/>
  <c r="AP49" i="30"/>
  <c r="Z46" i="30"/>
  <c r="AA46" i="30" s="1"/>
  <c r="U51" i="30"/>
  <c r="R49" i="30"/>
  <c r="AA52" i="30"/>
  <c r="AP40" i="30"/>
  <c r="AJ41" i="30"/>
  <c r="AA32" i="30"/>
  <c r="AG32" i="30"/>
  <c r="AD32" i="30"/>
  <c r="AJ35" i="30"/>
  <c r="AA33" i="30"/>
  <c r="AA45" i="30"/>
  <c r="AJ45" i="30"/>
  <c r="AD45" i="30"/>
  <c r="U37" i="30"/>
  <c r="AS37" i="30"/>
  <c r="AG33" i="30"/>
  <c r="AD47" i="30"/>
  <c r="AV47" i="30"/>
  <c r="AG40" i="30"/>
  <c r="R40" i="30"/>
  <c r="AA53" i="30"/>
  <c r="R51" i="30"/>
  <c r="AP51" i="30"/>
  <c r="AG36" i="30"/>
  <c r="AD50" i="30"/>
  <c r="AP50" i="30"/>
  <c r="AS46" i="30"/>
  <c r="AV44" i="30"/>
  <c r="AJ44" i="30"/>
  <c r="AJ34" i="30"/>
  <c r="AD40" i="30"/>
  <c r="AJ32" i="30"/>
  <c r="AS32" i="30"/>
  <c r="U45" i="30"/>
  <c r="AM45" i="30"/>
  <c r="AV45" i="30"/>
  <c r="W8" i="30"/>
  <c r="X8" i="30" s="1"/>
  <c r="AG37" i="30"/>
  <c r="AJ37" i="30"/>
  <c r="AO47" i="30"/>
  <c r="AP47" i="30" s="1"/>
  <c r="Z38" i="30"/>
  <c r="AA38" i="30" s="1"/>
  <c r="W39" i="30"/>
  <c r="X39" i="30" s="1"/>
  <c r="Q39" i="30"/>
  <c r="R39" i="30" s="1"/>
  <c r="T47" i="30"/>
  <c r="U47" i="30" s="1"/>
  <c r="W45" i="30"/>
  <c r="X45" i="30" s="1"/>
  <c r="Q50" i="30"/>
  <c r="R50" i="30" s="1"/>
  <c r="T50" i="30"/>
  <c r="U50" i="30" s="1"/>
  <c r="K48" i="30"/>
  <c r="W37" i="30"/>
  <c r="X37" i="30" s="1"/>
  <c r="W44" i="30"/>
  <c r="Q38" i="30"/>
  <c r="R38" i="30" s="1"/>
  <c r="W38" i="30"/>
  <c r="X38" i="30" s="1"/>
  <c r="W47" i="30"/>
  <c r="X47" i="30" s="1"/>
  <c r="T33" i="30"/>
  <c r="U33" i="30" s="1"/>
  <c r="AR21" i="30"/>
  <c r="W21" i="30"/>
  <c r="X21" i="30" s="1"/>
  <c r="K30" i="30"/>
  <c r="Q9" i="30"/>
  <c r="R9" i="30" s="1"/>
  <c r="W9" i="30"/>
  <c r="X9" i="30" s="1"/>
  <c r="T13" i="30"/>
  <c r="W11" i="30"/>
  <c r="AA6" i="30"/>
  <c r="W14" i="30"/>
  <c r="X14" i="30" s="1"/>
  <c r="AP6" i="30"/>
  <c r="K31" i="30"/>
  <c r="K24" i="30"/>
  <c r="T17" i="30"/>
  <c r="U17" i="30" s="1"/>
  <c r="W16" i="30"/>
  <c r="X16" i="30" s="1"/>
  <c r="AL34" i="30"/>
  <c r="AM34" i="30" s="1"/>
  <c r="AR45" i="30"/>
  <c r="AS45" i="30" s="1"/>
  <c r="AO42" i="30"/>
  <c r="Q34" i="30"/>
  <c r="R34" i="30" s="1"/>
  <c r="T34" i="30"/>
  <c r="U34" i="30" s="1"/>
  <c r="T22" i="30"/>
  <c r="T35" i="30"/>
  <c r="AI33" i="30"/>
  <c r="AJ33" i="30" s="1"/>
  <c r="W33" i="30"/>
  <c r="X33" i="30" s="1"/>
  <c r="Q33" i="30"/>
  <c r="R33" i="30" s="1"/>
  <c r="AX28" i="30"/>
  <c r="AY28" i="30" s="1"/>
  <c r="AC28" i="30"/>
  <c r="AD28" i="30" s="1"/>
  <c r="T23" i="30"/>
  <c r="U23" i="30" s="1"/>
  <c r="T32" i="30"/>
  <c r="AY6" i="30"/>
  <c r="W6" i="30"/>
  <c r="X6" i="30" s="1"/>
  <c r="Q6" i="30"/>
  <c r="R6" i="30" s="1"/>
  <c r="T26" i="30"/>
  <c r="W19" i="30"/>
  <c r="X19" i="30" s="1"/>
  <c r="AL7" i="30"/>
  <c r="AM7" i="30" s="1"/>
  <c r="AU54" i="29"/>
  <c r="S53" i="29"/>
  <c r="T53" i="29" s="1"/>
  <c r="AI48" i="29"/>
  <c r="Q48" i="29"/>
  <c r="S49" i="29"/>
  <c r="T49" i="29" s="1"/>
  <c r="AI45" i="29"/>
  <c r="AF43" i="29"/>
  <c r="AR37" i="29"/>
  <c r="AO35" i="29"/>
  <c r="AF30" i="29"/>
  <c r="AR47" i="29"/>
  <c r="AU47" i="29"/>
  <c r="S42" i="29"/>
  <c r="T42" i="29" s="1"/>
  <c r="K42" i="29" s="1"/>
  <c r="M42" i="29" s="1"/>
  <c r="AL42" i="29"/>
  <c r="S39" i="29"/>
  <c r="T39" i="29" s="1"/>
  <c r="Z50" i="29"/>
  <c r="AF48" i="29"/>
  <c r="AT51" i="29"/>
  <c r="AU43" i="29"/>
  <c r="AB30" i="29"/>
  <c r="AU37" i="29"/>
  <c r="AR45" i="29"/>
  <c r="V35" i="29"/>
  <c r="W35" i="29" s="1"/>
  <c r="K49" i="29"/>
  <c r="M49" i="29" s="1"/>
  <c r="V50" i="29"/>
  <c r="W50" i="29" s="1"/>
  <c r="AX48" i="29"/>
  <c r="AL51" i="29"/>
  <c r="AC43" i="29"/>
  <c r="Q35" i="29"/>
  <c r="AF35" i="29"/>
  <c r="AC33" i="29"/>
  <c r="T30" i="29"/>
  <c r="AO30" i="29"/>
  <c r="AI50" i="29"/>
  <c r="AR35" i="29"/>
  <c r="W30" i="29"/>
  <c r="K53" i="29"/>
  <c r="M53" i="29" s="1"/>
  <c r="AL50" i="29"/>
  <c r="AB52" i="29"/>
  <c r="AC52" i="29" s="1"/>
  <c r="V44" i="29"/>
  <c r="W44" i="29" s="1"/>
  <c r="P44" i="29"/>
  <c r="Q44" i="29" s="1"/>
  <c r="S48" i="29"/>
  <c r="Z48" i="29"/>
  <c r="V48" i="29"/>
  <c r="W48" i="29" s="1"/>
  <c r="T48" i="29"/>
  <c r="Z51" i="29"/>
  <c r="AR51" i="29"/>
  <c r="AO51" i="29"/>
  <c r="AQ46" i="29"/>
  <c r="AR46" i="29" s="1"/>
  <c r="Z41" i="29"/>
  <c r="P40" i="29"/>
  <c r="Q40" i="29" s="1"/>
  <c r="V40" i="29"/>
  <c r="W40" i="29" s="1"/>
  <c r="V31" i="29"/>
  <c r="W31" i="29" s="1"/>
  <c r="P31" i="29"/>
  <c r="Q31" i="29" s="1"/>
  <c r="V45" i="29"/>
  <c r="W45" i="29" s="1"/>
  <c r="Z43" i="29"/>
  <c r="AI47" i="29"/>
  <c r="V37" i="29"/>
  <c r="W37" i="29" s="1"/>
  <c r="S47" i="29"/>
  <c r="AL47" i="29"/>
  <c r="Q47" i="29"/>
  <c r="AU45" i="29"/>
  <c r="AF33" i="29"/>
  <c r="S33" i="29"/>
  <c r="T33" i="29" s="1"/>
  <c r="S40" i="29"/>
  <c r="T40" i="29" s="1"/>
  <c r="AI37" i="29"/>
  <c r="AO33" i="29"/>
  <c r="S25" i="29"/>
  <c r="T25" i="29" s="1"/>
  <c r="K25" i="29" s="1"/>
  <c r="M25" i="29" s="1"/>
  <c r="AO20" i="29"/>
  <c r="AF18" i="29"/>
  <c r="AL18" i="29"/>
  <c r="Q14" i="29"/>
  <c r="W26" i="29"/>
  <c r="AX20" i="29"/>
  <c r="AC20" i="29"/>
  <c r="AX15" i="29"/>
  <c r="V14" i="29"/>
  <c r="W14" i="29" s="1"/>
  <c r="AX14" i="29"/>
  <c r="AF26" i="29"/>
  <c r="AX26" i="29"/>
  <c r="Q20" i="29"/>
  <c r="AF20" i="29"/>
  <c r="AF15" i="29"/>
  <c r="AO14" i="29"/>
  <c r="T14" i="29"/>
  <c r="K27" i="29"/>
  <c r="M27" i="29" s="1"/>
  <c r="AI24" i="29"/>
  <c r="K24" i="29" s="1"/>
  <c r="M24" i="29" s="1"/>
  <c r="AF22" i="29"/>
  <c r="AL22" i="29"/>
  <c r="V20" i="29"/>
  <c r="T19" i="29"/>
  <c r="AK16" i="29"/>
  <c r="AL16" i="29" s="1"/>
  <c r="AC14" i="29"/>
  <c r="S13" i="29"/>
  <c r="T13" i="29" s="1"/>
  <c r="K13" i="29" s="1"/>
  <c r="M13" i="29" s="1"/>
  <c r="K11" i="29"/>
  <c r="M11" i="29" s="1"/>
  <c r="AF7" i="29"/>
  <c r="AU26" i="29"/>
  <c r="V10" i="29"/>
  <c r="W10" i="29" s="1"/>
  <c r="P10" i="29"/>
  <c r="Q10" i="29" s="1"/>
  <c r="AF10" i="29"/>
  <c r="V7" i="29"/>
  <c r="W7" i="29" s="1"/>
  <c r="AI8" i="29"/>
  <c r="T7" i="29"/>
  <c r="AO54" i="29"/>
  <c r="AC54" i="29"/>
  <c r="Q54" i="29"/>
  <c r="AR54" i="29"/>
  <c r="T54" i="29"/>
  <c r="AF54" i="29"/>
  <c r="AO50" i="29"/>
  <c r="AF50" i="29"/>
  <c r="AR50" i="29"/>
  <c r="AC50" i="29"/>
  <c r="T50" i="29"/>
  <c r="Q50" i="29"/>
  <c r="W54" i="29"/>
  <c r="AU50" i="29"/>
  <c r="AO48" i="29"/>
  <c r="K48" i="29" s="1"/>
  <c r="M48" i="29" s="1"/>
  <c r="AR48" i="29"/>
  <c r="AI51" i="29"/>
  <c r="AX51" i="29"/>
  <c r="AF51" i="29"/>
  <c r="K46" i="29"/>
  <c r="M46" i="29" s="1"/>
  <c r="V32" i="29"/>
  <c r="W32" i="29" s="1"/>
  <c r="P32" i="29"/>
  <c r="Q32" i="29" s="1"/>
  <c r="S43" i="29"/>
  <c r="T43" i="29" s="1"/>
  <c r="AI43" i="29"/>
  <c r="S32" i="29"/>
  <c r="T32" i="29" s="1"/>
  <c r="AL43" i="29"/>
  <c r="AX37" i="29"/>
  <c r="AF47" i="29"/>
  <c r="Z47" i="29"/>
  <c r="AX45" i="29"/>
  <c r="AO37" i="29"/>
  <c r="T37" i="29"/>
  <c r="AU35" i="29"/>
  <c r="Z35" i="29"/>
  <c r="Z33" i="29"/>
  <c r="AU30" i="29"/>
  <c r="Z30" i="29"/>
  <c r="AL38" i="29"/>
  <c r="AC37" i="29"/>
  <c r="T36" i="29"/>
  <c r="K36" i="29" s="1"/>
  <c r="M36" i="29" s="1"/>
  <c r="V33" i="29"/>
  <c r="P33" i="29"/>
  <c r="Q33" i="29" s="1"/>
  <c r="S31" i="29"/>
  <c r="T31" i="29" s="1"/>
  <c r="AU33" i="29"/>
  <c r="AI26" i="29"/>
  <c r="T38" i="29"/>
  <c r="K38" i="29" s="1"/>
  <c r="M38" i="29" s="1"/>
  <c r="AR26" i="29"/>
  <c r="Q26" i="29"/>
  <c r="W20" i="29"/>
  <c r="AR15" i="29"/>
  <c r="W15" i="29"/>
  <c r="AB26" i="29"/>
  <c r="AC26" i="29" s="1"/>
  <c r="AL26" i="29"/>
  <c r="AL20" i="29"/>
  <c r="T20" i="29"/>
  <c r="AO15" i="29"/>
  <c r="AR18" i="29"/>
  <c r="W18" i="29"/>
  <c r="AT14" i="29"/>
  <c r="AU14" i="29" s="1"/>
  <c r="AU19" i="29"/>
  <c r="Z7" i="29"/>
  <c r="AX10" i="29"/>
  <c r="AR7" i="29"/>
  <c r="AO7" i="29"/>
  <c r="AL8" i="29"/>
  <c r="Q8" i="29"/>
  <c r="AU8" i="29"/>
  <c r="Z8" i="29"/>
  <c r="AO8" i="29"/>
  <c r="AC8" i="29"/>
  <c r="AX8" i="29"/>
  <c r="AI54" i="29"/>
  <c r="S52" i="29"/>
  <c r="T52" i="29" s="1"/>
  <c r="AX54" i="29"/>
  <c r="AU51" i="29"/>
  <c r="T51" i="29"/>
  <c r="Q51" i="29"/>
  <c r="AR41" i="29"/>
  <c r="AC41" i="29"/>
  <c r="W41" i="29"/>
  <c r="AO41" i="29"/>
  <c r="AI41" i="29"/>
  <c r="T41" i="29"/>
  <c r="AU41" i="29"/>
  <c r="Q41" i="29"/>
  <c r="AL41" i="29"/>
  <c r="T47" i="29"/>
  <c r="AO43" i="29"/>
  <c r="AR43" i="29"/>
  <c r="AK35" i="29"/>
  <c r="AL35" i="29" s="1"/>
  <c r="AI33" i="29"/>
  <c r="AF37" i="29"/>
  <c r="AO47" i="29"/>
  <c r="S45" i="29"/>
  <c r="T45" i="29" s="1"/>
  <c r="AL45" i="29"/>
  <c r="S44" i="29"/>
  <c r="T44" i="29" s="1"/>
  <c r="AL37" i="29"/>
  <c r="AI35" i="29"/>
  <c r="AI30" i="29"/>
  <c r="AX35" i="29"/>
  <c r="AC35" i="29"/>
  <c r="AX30" i="29"/>
  <c r="AC30" i="29"/>
  <c r="V9" i="29"/>
  <c r="W9" i="29" s="1"/>
  <c r="P9" i="29"/>
  <c r="Q9" i="29" s="1"/>
  <c r="K23" i="29"/>
  <c r="M23" i="29" s="1"/>
  <c r="Z18" i="29"/>
  <c r="AI15" i="29"/>
  <c r="K15" i="29" s="1"/>
  <c r="M15" i="29" s="1"/>
  <c r="AF14" i="29"/>
  <c r="Z26" i="29"/>
  <c r="AR20" i="29"/>
  <c r="S17" i="29"/>
  <c r="T17" i="29" s="1"/>
  <c r="K17" i="29" s="1"/>
  <c r="M17" i="29" s="1"/>
  <c r="AC15" i="29"/>
  <c r="Z15" i="29"/>
  <c r="AN12" i="29"/>
  <c r="AO12" i="29" s="1"/>
  <c r="AU20" i="29"/>
  <c r="AU10" i="29"/>
  <c r="AI10" i="29"/>
  <c r="V12" i="29"/>
  <c r="W12" i="29" s="1"/>
  <c r="K12" i="29" s="1"/>
  <c r="M12" i="29" s="1"/>
  <c r="AX7" i="29"/>
  <c r="AF8" i="29"/>
  <c r="V51" i="29"/>
  <c r="W51" i="29" s="1"/>
  <c r="AX47" i="29"/>
  <c r="AC47" i="29"/>
  <c r="P43" i="29"/>
  <c r="Q43" i="29" s="1"/>
  <c r="V43" i="29"/>
  <c r="W43" i="29" s="1"/>
  <c r="AR33" i="29"/>
  <c r="W33" i="29"/>
  <c r="AL33" i="29"/>
  <c r="K39" i="29"/>
  <c r="M39" i="29" s="1"/>
  <c r="K34" i="29"/>
  <c r="M34" i="29" s="1"/>
  <c r="K28" i="29"/>
  <c r="M28" i="29" s="1"/>
  <c r="AU18" i="29"/>
  <c r="AO18" i="29"/>
  <c r="T18" i="29"/>
  <c r="AC18" i="29"/>
  <c r="AX18" i="29"/>
  <c r="S21" i="29"/>
  <c r="T21" i="29" s="1"/>
  <c r="K21" i="29" s="1"/>
  <c r="M21" i="29" s="1"/>
  <c r="AO26" i="29"/>
  <c r="AU22" i="29"/>
  <c r="AO22" i="29"/>
  <c r="T22" i="29"/>
  <c r="AI22" i="29"/>
  <c r="AC22" i="29"/>
  <c r="AR22" i="29"/>
  <c r="W22" i="29"/>
  <c r="Q22" i="29"/>
  <c r="AX22" i="29"/>
  <c r="AH18" i="29"/>
  <c r="AI18" i="29" s="1"/>
  <c r="K16" i="29"/>
  <c r="M16" i="29" s="1"/>
  <c r="T15" i="29"/>
  <c r="V6" i="29"/>
  <c r="W6" i="29" s="1"/>
  <c r="P6" i="29"/>
  <c r="AU7" i="29"/>
  <c r="AL7" i="29"/>
  <c r="Q7" i="29"/>
  <c r="AC7" i="29"/>
  <c r="V8" i="29"/>
  <c r="W8" i="29" s="1"/>
  <c r="Z47" i="28"/>
  <c r="AI53" i="28"/>
  <c r="AC53" i="28"/>
  <c r="Z51" i="28"/>
  <c r="AC46" i="28"/>
  <c r="AC35" i="28"/>
  <c r="AI34" i="28"/>
  <c r="W42" i="28"/>
  <c r="AU30" i="28"/>
  <c r="AH54" i="28"/>
  <c r="AI54" i="28" s="1"/>
  <c r="AU39" i="28"/>
  <c r="K39" i="28" s="1"/>
  <c r="M39" i="28" s="1"/>
  <c r="AN47" i="28"/>
  <c r="AO47" i="28" s="1"/>
  <c r="S51" i="28"/>
  <c r="Z42" i="28"/>
  <c r="AU42" i="28"/>
  <c r="Z41" i="28"/>
  <c r="AO46" i="28"/>
  <c r="AI31" i="28"/>
  <c r="S41" i="28"/>
  <c r="V54" i="28"/>
  <c r="W54" i="28" s="1"/>
  <c r="AO50" i="28"/>
  <c r="AX50" i="28"/>
  <c r="AF47" i="28"/>
  <c r="AF42" i="28"/>
  <c r="Q42" i="28"/>
  <c r="Z36" i="28"/>
  <c r="K7" i="28"/>
  <c r="M7" i="28" s="1"/>
  <c r="K27" i="28"/>
  <c r="M27" i="28" s="1"/>
  <c r="AR47" i="28"/>
  <c r="AC47" i="28"/>
  <c r="AI47" i="28"/>
  <c r="T47" i="28"/>
  <c r="AU47" i="28"/>
  <c r="Q47" i="28"/>
  <c r="AX47" i="28"/>
  <c r="AO51" i="28"/>
  <c r="AL51" i="28"/>
  <c r="AU49" i="28"/>
  <c r="AO49" i="28"/>
  <c r="AU45" i="28"/>
  <c r="AO45" i="28"/>
  <c r="AI45" i="28"/>
  <c r="AC45" i="28"/>
  <c r="T45" i="28"/>
  <c r="AX46" i="28"/>
  <c r="Q46" i="28"/>
  <c r="S50" i="28"/>
  <c r="T50" i="28" s="1"/>
  <c r="K50" i="28" s="1"/>
  <c r="M50" i="28" s="1"/>
  <c r="AL53" i="28"/>
  <c r="Q53" i="28"/>
  <c r="AO37" i="28"/>
  <c r="AI37" i="28"/>
  <c r="Z37" i="28"/>
  <c r="AX31" i="28"/>
  <c r="AC31" i="28"/>
  <c r="AL28" i="28"/>
  <c r="AX25" i="28"/>
  <c r="AR25" i="28"/>
  <c r="W25" i="28"/>
  <c r="Z35" i="28"/>
  <c r="T35" i="28"/>
  <c r="AO34" i="28"/>
  <c r="AF24" i="28"/>
  <c r="S24" i="28"/>
  <c r="T24" i="28" s="1"/>
  <c r="K24" i="28" s="1"/>
  <c r="M24" i="28" s="1"/>
  <c r="AX24" i="28"/>
  <c r="AC42" i="28"/>
  <c r="AX41" i="28"/>
  <c r="AL35" i="28"/>
  <c r="V34" i="28"/>
  <c r="W34" i="28" s="1"/>
  <c r="P34" i="28"/>
  <c r="Q34" i="28" s="1"/>
  <c r="AR31" i="28"/>
  <c r="Z30" i="28"/>
  <c r="AB25" i="28"/>
  <c r="AC25" i="28" s="1"/>
  <c r="AX35" i="28"/>
  <c r="AC34" i="28"/>
  <c r="W28" i="28"/>
  <c r="AC24" i="28"/>
  <c r="S23" i="28"/>
  <c r="T23" i="28" s="1"/>
  <c r="K23" i="28" s="1"/>
  <c r="M23" i="28" s="1"/>
  <c r="K11" i="28"/>
  <c r="M11" i="28" s="1"/>
  <c r="AU24" i="28"/>
  <c r="V20" i="28"/>
  <c r="W20" i="28" s="1"/>
  <c r="AI20" i="28"/>
  <c r="Z20" i="28"/>
  <c r="AX16" i="28"/>
  <c r="AC16" i="28"/>
  <c r="K16" i="28" s="1"/>
  <c r="M16" i="28" s="1"/>
  <c r="AF16" i="28"/>
  <c r="AR10" i="28"/>
  <c r="AU25" i="28"/>
  <c r="S18" i="28"/>
  <c r="T18" i="28" s="1"/>
  <c r="K18" i="28" s="1"/>
  <c r="M18" i="28" s="1"/>
  <c r="AX17" i="28"/>
  <c r="Z17" i="28"/>
  <c r="AU17" i="28"/>
  <c r="W17" i="28"/>
  <c r="W16" i="28"/>
  <c r="V12" i="28"/>
  <c r="W12" i="28" s="1"/>
  <c r="AR8" i="28"/>
  <c r="AX6" i="28"/>
  <c r="AF51" i="28"/>
  <c r="T51" i="28"/>
  <c r="AL49" i="28"/>
  <c r="W49" i="28"/>
  <c r="Q49" i="28"/>
  <c r="AX49" i="28"/>
  <c r="AC49" i="28"/>
  <c r="T49" i="28"/>
  <c r="V46" i="28"/>
  <c r="W46" i="28" s="1"/>
  <c r="S44" i="28"/>
  <c r="T44" i="28" s="1"/>
  <c r="K44" i="28" s="1"/>
  <c r="M44" i="28" s="1"/>
  <c r="K43" i="28"/>
  <c r="M43" i="28" s="1"/>
  <c r="AF37" i="28"/>
  <c r="AU37" i="28"/>
  <c r="Z28" i="28"/>
  <c r="AU35" i="28"/>
  <c r="AI35" i="28"/>
  <c r="AR35" i="28"/>
  <c r="AH42" i="28"/>
  <c r="AI42" i="28" s="1"/>
  <c r="AL41" i="28"/>
  <c r="AF31" i="28"/>
  <c r="T41" i="28"/>
  <c r="Z31" i="28"/>
  <c r="Y24" i="28"/>
  <c r="Z24" i="28" s="1"/>
  <c r="AU8" i="28"/>
  <c r="AO8" i="28"/>
  <c r="T8" i="28"/>
  <c r="AI8" i="28"/>
  <c r="AC8" i="28"/>
  <c r="AX8" i="28"/>
  <c r="AO41" i="28"/>
  <c r="V22" i="28"/>
  <c r="W22" i="28" s="1"/>
  <c r="P6" i="28"/>
  <c r="Q6" i="28" s="1"/>
  <c r="V6" i="28"/>
  <c r="W6" i="28" s="1"/>
  <c r="Q20" i="28"/>
  <c r="AF10" i="28"/>
  <c r="AX42" i="28"/>
  <c r="AU12" i="28"/>
  <c r="AO12" i="28"/>
  <c r="T12" i="28"/>
  <c r="AI12" i="28"/>
  <c r="AC12" i="28"/>
  <c r="AR12" i="28"/>
  <c r="Q12" i="28"/>
  <c r="AX12" i="28"/>
  <c r="P10" i="28"/>
  <c r="Q10" i="28" s="1"/>
  <c r="V10" i="28"/>
  <c r="Q8" i="28"/>
  <c r="K54" i="28"/>
  <c r="M54" i="28" s="1"/>
  <c r="AR51" i="28"/>
  <c r="AC51" i="28"/>
  <c r="W51" i="28"/>
  <c r="AI51" i="28"/>
  <c r="AX51" i="28"/>
  <c r="V48" i="28"/>
  <c r="W48" i="28" s="1"/>
  <c r="K48" i="28" s="1"/>
  <c r="M48" i="28" s="1"/>
  <c r="S40" i="28"/>
  <c r="T40" i="28" s="1"/>
  <c r="K40" i="28" s="1"/>
  <c r="M40" i="28" s="1"/>
  <c r="K38" i="28"/>
  <c r="M38" i="28" s="1"/>
  <c r="V33" i="28"/>
  <c r="W33" i="28" s="1"/>
  <c r="P33" i="28"/>
  <c r="Q33" i="28" s="1"/>
  <c r="K33" i="28" s="1"/>
  <c r="M33" i="28" s="1"/>
  <c r="AF52" i="28"/>
  <c r="K52" i="28" s="1"/>
  <c r="M52" i="28" s="1"/>
  <c r="AX37" i="28"/>
  <c r="K32" i="28"/>
  <c r="M32" i="28" s="1"/>
  <c r="AU28" i="28"/>
  <c r="AO28" i="28"/>
  <c r="T28" i="28"/>
  <c r="AI28" i="28"/>
  <c r="AC28" i="28"/>
  <c r="K22" i="28"/>
  <c r="M22" i="28" s="1"/>
  <c r="AO35" i="28"/>
  <c r="W35" i="28"/>
  <c r="V30" i="28"/>
  <c r="W30" i="28" s="1"/>
  <c r="P30" i="28"/>
  <c r="Q30" i="28" s="1"/>
  <c r="W37" i="28"/>
  <c r="Z25" i="28"/>
  <c r="K19" i="28"/>
  <c r="M19" i="28" s="1"/>
  <c r="AU31" i="28"/>
  <c r="AR37" i="28"/>
  <c r="AX20" i="28"/>
  <c r="K14" i="28"/>
  <c r="M14" i="28" s="1"/>
  <c r="S25" i="28"/>
  <c r="T25" i="28" s="1"/>
  <c r="K25" i="28" s="1"/>
  <c r="M25" i="28" s="1"/>
  <c r="V14" i="28"/>
  <c r="W14" i="28" s="1"/>
  <c r="AL10" i="28"/>
  <c r="AF12" i="28"/>
  <c r="AL12" i="28"/>
  <c r="V47" i="28"/>
  <c r="W47" i="28" s="1"/>
  <c r="AT51" i="28"/>
  <c r="AU51" i="28" s="1"/>
  <c r="Q51" i="28"/>
  <c r="Z49" i="28"/>
  <c r="AI49" i="28"/>
  <c r="AR49" i="28"/>
  <c r="V45" i="28"/>
  <c r="W45" i="28" s="1"/>
  <c r="K45" i="28" s="1"/>
  <c r="M45" i="28" s="1"/>
  <c r="AC37" i="28"/>
  <c r="S37" i="28"/>
  <c r="T37" i="28" s="1"/>
  <c r="AL37" i="28"/>
  <c r="AF28" i="28"/>
  <c r="AX28" i="28"/>
  <c r="AF35" i="28"/>
  <c r="AF41" i="28"/>
  <c r="AI41" i="28"/>
  <c r="W41" i="28"/>
  <c r="AR41" i="28"/>
  <c r="Q35" i="28"/>
  <c r="T34" i="28"/>
  <c r="AF25" i="28"/>
  <c r="AO25" i="28"/>
  <c r="S42" i="28"/>
  <c r="T42" i="28" s="1"/>
  <c r="S36" i="28"/>
  <c r="T36" i="28" s="1"/>
  <c r="K36" i="28" s="1"/>
  <c r="M36" i="28" s="1"/>
  <c r="P31" i="28"/>
  <c r="Q31" i="28" s="1"/>
  <c r="V31" i="28"/>
  <c r="W31" i="28" s="1"/>
  <c r="AF30" i="28"/>
  <c r="K26" i="28"/>
  <c r="M26" i="28" s="1"/>
  <c r="K21" i="28"/>
  <c r="M21" i="28" s="1"/>
  <c r="AR28" i="28"/>
  <c r="S15" i="28"/>
  <c r="T15" i="28" s="1"/>
  <c r="K15" i="28" s="1"/>
  <c r="M15" i="28" s="1"/>
  <c r="K13" i="28"/>
  <c r="M13" i="28" s="1"/>
  <c r="AX10" i="28"/>
  <c r="AC10" i="28"/>
  <c r="W10" i="28"/>
  <c r="V8" i="28"/>
  <c r="W8" i="28" s="1"/>
  <c r="Z8" i="28"/>
  <c r="AF20" i="28"/>
  <c r="AU20" i="28"/>
  <c r="AC20" i="28"/>
  <c r="AB6" i="28"/>
  <c r="AC6" i="28" s="1"/>
  <c r="V9" i="28"/>
  <c r="W9" i="28" s="1"/>
  <c r="P9" i="28"/>
  <c r="Q9" i="28" s="1"/>
  <c r="K9" i="28" s="1"/>
  <c r="M9" i="28" s="1"/>
  <c r="S6" i="28"/>
  <c r="T6" i="28" s="1"/>
  <c r="S31" i="28"/>
  <c r="T31" i="28" s="1"/>
  <c r="Z12" i="28"/>
  <c r="Z10" i="28"/>
  <c r="AU10" i="28"/>
  <c r="AT50" i="27"/>
  <c r="AU50" i="27" s="1"/>
  <c r="AT51" i="27"/>
  <c r="AU51" i="27" s="1"/>
  <c r="Z51" i="27"/>
  <c r="AT49" i="27"/>
  <c r="AU49" i="27" s="1"/>
  <c r="AO49" i="27"/>
  <c r="AF47" i="27"/>
  <c r="AL47" i="27"/>
  <c r="V45" i="27"/>
  <c r="W45" i="27" s="1"/>
  <c r="AX45" i="27"/>
  <c r="AX41" i="27"/>
  <c r="AL39" i="27"/>
  <c r="Z37" i="27"/>
  <c r="Q37" i="27"/>
  <c r="Z35" i="27"/>
  <c r="S33" i="27"/>
  <c r="T33" i="27" s="1"/>
  <c r="AX33" i="27"/>
  <c r="S32" i="27"/>
  <c r="T32" i="27" s="1"/>
  <c r="K32" i="27" s="1"/>
  <c r="M32" i="27" s="1"/>
  <c r="AF34" i="27"/>
  <c r="AO34" i="27"/>
  <c r="AF52" i="27"/>
  <c r="AF46" i="27"/>
  <c r="AL46" i="27"/>
  <c r="S49" i="27"/>
  <c r="T49" i="27" s="1"/>
  <c r="AR37" i="27"/>
  <c r="V37" i="27"/>
  <c r="W37" i="27" s="1"/>
  <c r="AU37" i="27"/>
  <c r="Q45" i="27"/>
  <c r="V38" i="27"/>
  <c r="W38" i="27" s="1"/>
  <c r="Z50" i="27"/>
  <c r="Q46" i="27"/>
  <c r="AI46" i="27"/>
  <c r="AF45" i="27"/>
  <c r="AL45" i="27"/>
  <c r="AI45" i="27"/>
  <c r="AC39" i="27"/>
  <c r="AH43" i="27"/>
  <c r="AI43" i="27" s="1"/>
  <c r="S40" i="27"/>
  <c r="T40" i="27" s="1"/>
  <c r="AF37" i="27"/>
  <c r="AL30" i="27"/>
  <c r="AC30" i="27"/>
  <c r="Q30" i="27"/>
  <c r="AI30" i="27"/>
  <c r="K7" i="27"/>
  <c r="M7" i="27" s="1"/>
  <c r="K27" i="27"/>
  <c r="M27" i="27" s="1"/>
  <c r="K11" i="27"/>
  <c r="M11" i="27" s="1"/>
  <c r="AL53" i="27"/>
  <c r="S53" i="27"/>
  <c r="T53" i="27" s="1"/>
  <c r="AH53" i="27"/>
  <c r="AI53" i="27" s="1"/>
  <c r="K53" i="27" s="1"/>
  <c r="M53" i="27" s="1"/>
  <c r="AC51" i="27"/>
  <c r="AR53" i="27"/>
  <c r="S52" i="27"/>
  <c r="T52" i="27" s="1"/>
  <c r="K52" i="27" s="1"/>
  <c r="M52" i="27" s="1"/>
  <c r="Z49" i="27"/>
  <c r="AC46" i="27"/>
  <c r="S46" i="27"/>
  <c r="T46" i="27" s="1"/>
  <c r="AI47" i="27"/>
  <c r="AC47" i="27"/>
  <c r="AR47" i="27"/>
  <c r="W47" i="27"/>
  <c r="Q47" i="27"/>
  <c r="AO47" i="27"/>
  <c r="T47" i="27"/>
  <c r="AU47" i="27"/>
  <c r="AX47" i="27"/>
  <c r="K40" i="27"/>
  <c r="M40" i="27" s="1"/>
  <c r="AR48" i="27"/>
  <c r="T48" i="27"/>
  <c r="AO48" i="27"/>
  <c r="S42" i="27"/>
  <c r="T42" i="27" s="1"/>
  <c r="AF41" i="27"/>
  <c r="S41" i="27"/>
  <c r="T41" i="27" s="1"/>
  <c r="AO37" i="27"/>
  <c r="AO45" i="27"/>
  <c r="W42" i="27"/>
  <c r="AO41" i="27"/>
  <c r="AF39" i="27"/>
  <c r="AI37" i="27"/>
  <c r="AC37" i="27"/>
  <c r="AX37" i="27"/>
  <c r="T37" i="27"/>
  <c r="AX35" i="27"/>
  <c r="AC35" i="27"/>
  <c r="W35" i="27"/>
  <c r="AF33" i="27"/>
  <c r="K15" i="27"/>
  <c r="M15" i="27" s="1"/>
  <c r="Z24" i="27"/>
  <c r="AR30" i="27"/>
  <c r="W30" i="27"/>
  <c r="T30" i="27"/>
  <c r="AX30" i="27"/>
  <c r="AU30" i="27"/>
  <c r="Z30" i="27"/>
  <c r="W20" i="27"/>
  <c r="AR20" i="27"/>
  <c r="Z20" i="27"/>
  <c r="Z34" i="27"/>
  <c r="AU34" i="27"/>
  <c r="AC34" i="27"/>
  <c r="AU28" i="27"/>
  <c r="S13" i="27"/>
  <c r="T13" i="27" s="1"/>
  <c r="K13" i="27" s="1"/>
  <c r="M13" i="27" s="1"/>
  <c r="V9" i="27"/>
  <c r="W9" i="27" s="1"/>
  <c r="P9" i="27"/>
  <c r="Q9" i="27" s="1"/>
  <c r="AW28" i="27"/>
  <c r="AX28" i="27" s="1"/>
  <c r="AF25" i="27"/>
  <c r="Z25" i="27"/>
  <c r="AU25" i="27"/>
  <c r="AO25" i="27"/>
  <c r="W18" i="27"/>
  <c r="AO18" i="27"/>
  <c r="AH18" i="27"/>
  <c r="AI18" i="27" s="1"/>
  <c r="T18" i="27"/>
  <c r="K18" i="27" s="1"/>
  <c r="M18" i="27" s="1"/>
  <c r="Q8" i="27"/>
  <c r="AU10" i="27"/>
  <c r="W10" i="27"/>
  <c r="AO10" i="27"/>
  <c r="Q10" i="27"/>
  <c r="AX10" i="27"/>
  <c r="AF10" i="27"/>
  <c r="S6" i="27"/>
  <c r="T6" i="27" s="1"/>
  <c r="AL6" i="27"/>
  <c r="AR12" i="27"/>
  <c r="S8" i="27"/>
  <c r="T8" i="27" s="1"/>
  <c r="AL8" i="27"/>
  <c r="AC53" i="27"/>
  <c r="AU46" i="27"/>
  <c r="AO46" i="27"/>
  <c r="W49" i="27"/>
  <c r="AC49" i="27"/>
  <c r="AX46" i="27"/>
  <c r="Z46" i="27"/>
  <c r="AX48" i="27"/>
  <c r="AI48" i="27"/>
  <c r="Z48" i="27"/>
  <c r="AU48" i="27"/>
  <c r="AC48" i="27"/>
  <c r="AR39" i="27"/>
  <c r="Z41" i="27"/>
  <c r="P39" i="27"/>
  <c r="Q39" i="27" s="1"/>
  <c r="V39" i="27"/>
  <c r="W39" i="27" s="1"/>
  <c r="AL48" i="27"/>
  <c r="AI41" i="27"/>
  <c r="S39" i="27"/>
  <c r="T39" i="27" s="1"/>
  <c r="AO24" i="27"/>
  <c r="T24" i="27"/>
  <c r="Q24" i="27"/>
  <c r="AU24" i="27"/>
  <c r="AR24" i="27"/>
  <c r="W24" i="27"/>
  <c r="AU41" i="27"/>
  <c r="V16" i="27"/>
  <c r="W16" i="27" s="1"/>
  <c r="T20" i="27"/>
  <c r="AU39" i="27"/>
  <c r="AH34" i="27"/>
  <c r="AI34" i="27" s="1"/>
  <c r="AI25" i="27"/>
  <c r="S25" i="27"/>
  <c r="AR25" i="27"/>
  <c r="AC25" i="27"/>
  <c r="S14" i="27"/>
  <c r="T14" i="27" s="1"/>
  <c r="AO8" i="27"/>
  <c r="AI12" i="27"/>
  <c r="AC6" i="27"/>
  <c r="S9" i="27"/>
  <c r="T9" i="27" s="1"/>
  <c r="AC8" i="27"/>
  <c r="AI6" i="27"/>
  <c r="Z6" i="27"/>
  <c r="AR6" i="27"/>
  <c r="AU6" i="27" s="1"/>
  <c r="AN12" i="27"/>
  <c r="AO12" i="27" s="1"/>
  <c r="V12" i="27"/>
  <c r="AR8" i="27"/>
  <c r="Z8" i="27"/>
  <c r="K49" i="27"/>
  <c r="M49" i="27" s="1"/>
  <c r="S44" i="27"/>
  <c r="T44" i="27" s="1"/>
  <c r="K44" i="27" s="1"/>
  <c r="M44" i="27" s="1"/>
  <c r="K19" i="27"/>
  <c r="M19" i="27" s="1"/>
  <c r="T35" i="27"/>
  <c r="AF30" i="27"/>
  <c r="K26" i="27"/>
  <c r="M26" i="27" s="1"/>
  <c r="S23" i="27"/>
  <c r="T23" i="27" s="1"/>
  <c r="K23" i="27" s="1"/>
  <c r="M23" i="27" s="1"/>
  <c r="AO16" i="27"/>
  <c r="AI16" i="27"/>
  <c r="T16" i="27"/>
  <c r="AU16" i="27"/>
  <c r="Q16" i="27"/>
  <c r="AR16" i="27"/>
  <c r="AC16" i="27"/>
  <c r="AX16" i="27"/>
  <c r="AC20" i="27"/>
  <c r="AI20" i="27"/>
  <c r="AX20" i="27"/>
  <c r="T36" i="27"/>
  <c r="K36" i="27" s="1"/>
  <c r="M36" i="27" s="1"/>
  <c r="P34" i="27"/>
  <c r="Q34" i="27" s="1"/>
  <c r="V34" i="27"/>
  <c r="W34" i="27" s="1"/>
  <c r="V22" i="27"/>
  <c r="W22" i="27" s="1"/>
  <c r="AQ22" i="27"/>
  <c r="AR22" i="27" s="1"/>
  <c r="V17" i="27"/>
  <c r="W17" i="27" s="1"/>
  <c r="K17" i="27" s="1"/>
  <c r="M17" i="27" s="1"/>
  <c r="AB28" i="27"/>
  <c r="AC28" i="27" s="1"/>
  <c r="W25" i="27"/>
  <c r="AX25" i="27"/>
  <c r="AL12" i="27"/>
  <c r="W12" i="27"/>
  <c r="Z12" i="27"/>
  <c r="AU12" i="27"/>
  <c r="K12" i="27" s="1"/>
  <c r="M12" i="27" s="1"/>
  <c r="AF12" i="27"/>
  <c r="S51" i="27"/>
  <c r="T51" i="27" s="1"/>
  <c r="V48" i="27"/>
  <c r="W48" i="27" s="1"/>
  <c r="AU45" i="27"/>
  <c r="S50" i="27"/>
  <c r="T50" i="27" s="1"/>
  <c r="AR41" i="27"/>
  <c r="W41" i="27"/>
  <c r="Q41" i="27"/>
  <c r="AL41" i="27"/>
  <c r="AI39" i="27"/>
  <c r="AX39" i="27"/>
  <c r="K38" i="27"/>
  <c r="M38" i="27" s="1"/>
  <c r="AI33" i="27"/>
  <c r="AC33" i="27"/>
  <c r="AR33" i="27"/>
  <c r="W33" i="27"/>
  <c r="Q33" i="27"/>
  <c r="AU33" i="27"/>
  <c r="AO33" i="27"/>
  <c r="AL33" i="27"/>
  <c r="K21" i="27"/>
  <c r="M21" i="27" s="1"/>
  <c r="AF16" i="27"/>
  <c r="AL16" i="27"/>
  <c r="K22" i="27"/>
  <c r="M22" i="27" s="1"/>
  <c r="Q20" i="27"/>
  <c r="K20" i="27" s="1"/>
  <c r="M20" i="27" s="1"/>
  <c r="AL20" i="27"/>
  <c r="K14" i="27"/>
  <c r="M14" i="27" s="1"/>
  <c r="T25" i="27"/>
  <c r="K25" i="27" s="1"/>
  <c r="M25" i="27" s="1"/>
  <c r="W6" i="27"/>
  <c r="Q6" i="27"/>
  <c r="AO6" i="27"/>
  <c r="AX6" i="27"/>
  <c r="AC12" i="27"/>
  <c r="AX12" i="27"/>
  <c r="S53" i="26"/>
  <c r="AX54" i="26"/>
  <c r="Q53" i="26"/>
  <c r="AL53" i="26"/>
  <c r="AH53" i="26"/>
  <c r="Z53" i="26"/>
  <c r="AC54" i="26"/>
  <c r="W53" i="26"/>
  <c r="AI52" i="26"/>
  <c r="W52" i="26"/>
  <c r="AX52" i="26"/>
  <c r="Z52" i="26"/>
  <c r="W49" i="26"/>
  <c r="S49" i="26"/>
  <c r="T49" i="26" s="1"/>
  <c r="T50" i="26"/>
  <c r="Z45" i="26"/>
  <c r="AX40" i="26"/>
  <c r="W46" i="26"/>
  <c r="AC39" i="26"/>
  <c r="S39" i="26"/>
  <c r="T39" i="26" s="1"/>
  <c r="AU39" i="26"/>
  <c r="AF35" i="26"/>
  <c r="Q35" i="26"/>
  <c r="AL31" i="26"/>
  <c r="AL34" i="26"/>
  <c r="S51" i="26"/>
  <c r="T51" i="26" s="1"/>
  <c r="K51" i="26" s="1"/>
  <c r="M51" i="26" s="1"/>
  <c r="AI39" i="26"/>
  <c r="Z39" i="26"/>
  <c r="AO35" i="26"/>
  <c r="AX51" i="26"/>
  <c r="AE39" i="26"/>
  <c r="AF39" i="26" s="1"/>
  <c r="AR35" i="26"/>
  <c r="AL51" i="26"/>
  <c r="AC38" i="26"/>
  <c r="AC51" i="26"/>
  <c r="AU49" i="26"/>
  <c r="Z49" i="26"/>
  <c r="Z50" i="26"/>
  <c r="AX45" i="26"/>
  <c r="V41" i="26"/>
  <c r="W41" i="26" s="1"/>
  <c r="T43" i="26"/>
  <c r="T33" i="26"/>
  <c r="Z30" i="26"/>
  <c r="AL30" i="26"/>
  <c r="W25" i="26"/>
  <c r="AU21" i="26"/>
  <c r="AI20" i="26"/>
  <c r="AX21" i="26"/>
  <c r="W16" i="26"/>
  <c r="AR22" i="26"/>
  <c r="AU10" i="26"/>
  <c r="Z6" i="26"/>
  <c r="AX26" i="26"/>
  <c r="Z26" i="26"/>
  <c r="AC14" i="26"/>
  <c r="Z10" i="26"/>
  <c r="AL12" i="26"/>
  <c r="AK10" i="26"/>
  <c r="AL10" i="26" s="1"/>
  <c r="AL8" i="26"/>
  <c r="AX6" i="26"/>
  <c r="AL22" i="26"/>
  <c r="AO26" i="26"/>
  <c r="V8" i="26"/>
  <c r="W8" i="26" s="1"/>
  <c r="S21" i="26"/>
  <c r="S17" i="26"/>
  <c r="AU26" i="26"/>
  <c r="T22" i="26"/>
  <c r="T10" i="26"/>
  <c r="S23" i="26"/>
  <c r="T23" i="26" s="1"/>
  <c r="AX10" i="26"/>
  <c r="AX14" i="26"/>
  <c r="AH9" i="26"/>
  <c r="AI9" i="26" s="1"/>
  <c r="Z9" i="26"/>
  <c r="K15" i="26"/>
  <c r="M15" i="26" s="1"/>
  <c r="AX44" i="26"/>
  <c r="AL46" i="26"/>
  <c r="AF46" i="26"/>
  <c r="AO46" i="26"/>
  <c r="Q16" i="26"/>
  <c r="AC16" i="26"/>
  <c r="AO16" i="26"/>
  <c r="Q31" i="26"/>
  <c r="AR52" i="26"/>
  <c r="AF49" i="26"/>
  <c r="AR49" i="26"/>
  <c r="AO49" i="26"/>
  <c r="W50" i="26"/>
  <c r="AI50" i="26"/>
  <c r="AU50" i="26"/>
  <c r="AI45" i="26"/>
  <c r="AF44" i="26"/>
  <c r="AR40" i="26"/>
  <c r="T54" i="26"/>
  <c r="Q54" i="26"/>
  <c r="AL45" i="26"/>
  <c r="S45" i="26"/>
  <c r="T45" i="26" s="1"/>
  <c r="AO40" i="26"/>
  <c r="T34" i="26"/>
  <c r="P34" i="26"/>
  <c r="Q34" i="26" s="1"/>
  <c r="V42" i="26"/>
  <c r="W42" i="26" s="1"/>
  <c r="AI42" i="26"/>
  <c r="AX42" i="26"/>
  <c r="S46" i="26"/>
  <c r="T46" i="26" s="1"/>
  <c r="AC46" i="26"/>
  <c r="AU46" i="26"/>
  <c r="AC33" i="26"/>
  <c r="AO33" i="26"/>
  <c r="T16" i="26"/>
  <c r="AB28" i="26"/>
  <c r="S25" i="26"/>
  <c r="T25" i="26" s="1"/>
  <c r="Y23" i="26"/>
  <c r="Z23" i="26" s="1"/>
  <c r="AQ21" i="26"/>
  <c r="T17" i="26"/>
  <c r="AF17" i="26"/>
  <c r="AI16" i="26"/>
  <c r="V35" i="26"/>
  <c r="W35" i="26"/>
  <c r="AX35" i="26"/>
  <c r="AC21" i="26"/>
  <c r="Q20" i="26"/>
  <c r="AC20" i="26"/>
  <c r="AO17" i="26"/>
  <c r="V22" i="26"/>
  <c r="W22" i="26" s="1"/>
  <c r="AI22" i="26"/>
  <c r="AU22" i="26"/>
  <c r="AX22" i="26"/>
  <c r="W26" i="26"/>
  <c r="AI26" i="26"/>
  <c r="AO14" i="26"/>
  <c r="AO10" i="26"/>
  <c r="AN8" i="26"/>
  <c r="AO8" i="26" s="1"/>
  <c r="AO6" i="26"/>
  <c r="AU30" i="26"/>
  <c r="T14" i="26"/>
  <c r="AF10" i="26"/>
  <c r="AR6" i="26"/>
  <c r="AU6" i="26" s="1"/>
  <c r="AR18" i="26"/>
  <c r="AO18" i="26"/>
  <c r="S18" i="26"/>
  <c r="AL18" i="26"/>
  <c r="AU17" i="26"/>
  <c r="AI14" i="26"/>
  <c r="AI6" i="26"/>
  <c r="V6" i="26"/>
  <c r="W6" i="26" s="1"/>
  <c r="P6" i="26"/>
  <c r="Q6" i="26" s="1"/>
  <c r="Q44" i="26"/>
  <c r="AC44" i="26"/>
  <c r="AO44" i="26"/>
  <c r="AC40" i="26"/>
  <c r="Q40" i="26"/>
  <c r="T32" i="26"/>
  <c r="AE30" i="26"/>
  <c r="AF30" i="26" s="1"/>
  <c r="AX31" i="26"/>
  <c r="Z31" i="26"/>
  <c r="AX18" i="26"/>
  <c r="V10" i="26"/>
  <c r="W10" i="26" s="1"/>
  <c r="P10" i="26"/>
  <c r="Q10" i="26" s="1"/>
  <c r="AR53" i="26"/>
  <c r="T53" i="26"/>
  <c r="AF53" i="26"/>
  <c r="AC53" i="26"/>
  <c r="T52" i="26"/>
  <c r="AC52" i="26"/>
  <c r="AO52" i="26"/>
  <c r="Q52" i="26"/>
  <c r="AN47" i="26"/>
  <c r="AO47" i="26" s="1"/>
  <c r="T40" i="26"/>
  <c r="W54" i="26"/>
  <c r="AI54" i="26"/>
  <c r="AL54" i="26"/>
  <c r="AU53" i="26"/>
  <c r="Q45" i="26"/>
  <c r="AF45" i="26"/>
  <c r="AR41" i="26"/>
  <c r="T41" i="26"/>
  <c r="AF41" i="26"/>
  <c r="AI40" i="26"/>
  <c r="AO45" i="26"/>
  <c r="AR44" i="26"/>
  <c r="Z44" i="26"/>
  <c r="AO41" i="26"/>
  <c r="Z40" i="26"/>
  <c r="AU41" i="26"/>
  <c r="AI46" i="26"/>
  <c r="Z46" i="26"/>
  <c r="AX46" i="26"/>
  <c r="AO36" i="26"/>
  <c r="V30" i="26"/>
  <c r="W30" i="26" s="1"/>
  <c r="P30" i="26"/>
  <c r="Q30" i="26" s="1"/>
  <c r="AF16" i="26"/>
  <c r="S30" i="26"/>
  <c r="T30" i="26" s="1"/>
  <c r="AR25" i="26"/>
  <c r="AF25" i="26"/>
  <c r="AN20" i="26"/>
  <c r="AO20" i="26" s="1"/>
  <c r="AU16" i="26"/>
  <c r="S35" i="26"/>
  <c r="T35" i="26" s="1"/>
  <c r="AC25" i="26"/>
  <c r="S24" i="26"/>
  <c r="T24" i="26" s="1"/>
  <c r="AO21" i="26"/>
  <c r="V17" i="26"/>
  <c r="W17" i="26" s="1"/>
  <c r="Z16" i="26"/>
  <c r="V9" i="26"/>
  <c r="W9" i="26" s="1"/>
  <c r="P9" i="26"/>
  <c r="Q9" i="26" s="1"/>
  <c r="S26" i="26"/>
  <c r="T26" i="26" s="1"/>
  <c r="V14" i="26"/>
  <c r="W14" i="26" s="1"/>
  <c r="AQ13" i="26"/>
  <c r="AR13" i="26" s="1"/>
  <c r="AN12" i="26"/>
  <c r="AO12" i="26" s="1"/>
  <c r="AK7" i="26"/>
  <c r="AL7" i="26" s="1"/>
  <c r="K7" i="26" s="1"/>
  <c r="M7" i="26" s="1"/>
  <c r="AO31" i="26"/>
  <c r="AR31" i="26"/>
  <c r="AF14" i="26"/>
  <c r="AN11" i="26"/>
  <c r="AO11" i="26" s="1"/>
  <c r="K11" i="26" s="1"/>
  <c r="M11" i="26" s="1"/>
  <c r="AR10" i="26"/>
  <c r="AF18" i="26"/>
  <c r="AC18" i="26"/>
  <c r="AU14" i="26"/>
  <c r="K43" i="26"/>
  <c r="M43" i="26" s="1"/>
  <c r="AR45" i="26"/>
  <c r="K27" i="26"/>
  <c r="M27" i="26" s="1"/>
  <c r="AK19" i="26"/>
  <c r="AL19" i="26" s="1"/>
  <c r="K19" i="26" s="1"/>
  <c r="M19" i="26" s="1"/>
  <c r="AI31" i="26"/>
  <c r="AI53" i="26"/>
  <c r="AX53" i="26"/>
  <c r="AU52" i="26"/>
  <c r="AL49" i="26"/>
  <c r="AO53" i="26"/>
  <c r="AE52" i="26"/>
  <c r="AF52" i="26" s="1"/>
  <c r="AF48" i="26"/>
  <c r="T48" i="26"/>
  <c r="AO48" i="26"/>
  <c r="Q48" i="26"/>
  <c r="AC48" i="26"/>
  <c r="AR50" i="26"/>
  <c r="AC50" i="26"/>
  <c r="AL50" i="26"/>
  <c r="T47" i="26"/>
  <c r="AI41" i="26"/>
  <c r="AF40" i="26"/>
  <c r="AR54" i="26"/>
  <c r="AO54" i="26"/>
  <c r="AU44" i="26"/>
  <c r="AU40" i="26"/>
  <c r="V45" i="26"/>
  <c r="W45" i="26" s="1"/>
  <c r="AL44" i="26"/>
  <c r="T44" i="26"/>
  <c r="Q41" i="26"/>
  <c r="AL40" i="26"/>
  <c r="W38" i="26"/>
  <c r="Q38" i="26"/>
  <c r="K38" i="26" s="1"/>
  <c r="M38" i="26" s="1"/>
  <c r="AC42" i="26"/>
  <c r="Z42" i="26"/>
  <c r="P33" i="26"/>
  <c r="Q33" i="26" s="1"/>
  <c r="W33" i="26"/>
  <c r="Q46" i="26"/>
  <c r="AR46" i="26"/>
  <c r="AU45" i="26"/>
  <c r="AR37" i="26"/>
  <c r="Z33" i="26"/>
  <c r="AI25" i="26"/>
  <c r="AR16" i="26"/>
  <c r="V39" i="26"/>
  <c r="W39" i="26" s="1"/>
  <c r="P39" i="26"/>
  <c r="Q39" i="26" s="1"/>
  <c r="S36" i="26"/>
  <c r="T36" i="26" s="1"/>
  <c r="AR30" i="26"/>
  <c r="Z25" i="26"/>
  <c r="T21" i="26"/>
  <c r="AF21" i="26"/>
  <c r="AR21" i="26"/>
  <c r="AQ17" i="26"/>
  <c r="AR17" i="26" s="1"/>
  <c r="Z17" i="26"/>
  <c r="AX39" i="26"/>
  <c r="AC35" i="26"/>
  <c r="Z35" i="26"/>
  <c r="AO30" i="26"/>
  <c r="Q28" i="26"/>
  <c r="AC28" i="26"/>
  <c r="AO28" i="26"/>
  <c r="AO25" i="26"/>
  <c r="AC24" i="26"/>
  <c r="AO24" i="26"/>
  <c r="Q24" i="26"/>
  <c r="V21" i="26"/>
  <c r="W21" i="26" s="1"/>
  <c r="Z20" i="26"/>
  <c r="Q17" i="26"/>
  <c r="AL16" i="26"/>
  <c r="T31" i="26"/>
  <c r="AF22" i="26"/>
  <c r="AC22" i="26"/>
  <c r="Z22" i="26"/>
  <c r="AF26" i="26"/>
  <c r="AC26" i="26"/>
  <c r="AL26" i="26"/>
  <c r="AU25" i="26"/>
  <c r="Q14" i="26"/>
  <c r="S13" i="26"/>
  <c r="T13" i="26" s="1"/>
  <c r="AC10" i="26"/>
  <c r="AF31" i="26"/>
  <c r="W31" i="26"/>
  <c r="AC31" i="26"/>
  <c r="AU18" i="26"/>
  <c r="S37" i="26"/>
  <c r="T37" i="26" s="1"/>
  <c r="T18" i="26"/>
  <c r="Q18" i="26"/>
  <c r="AH18" i="26"/>
  <c r="AI18" i="26" s="1"/>
  <c r="AB6" i="26"/>
  <c r="AC6" i="26" s="1"/>
  <c r="S12" i="26"/>
  <c r="T12" i="26" s="1"/>
  <c r="S9" i="26"/>
  <c r="T9" i="26" s="1"/>
  <c r="AU50" i="23"/>
  <c r="T43" i="23"/>
  <c r="T49" i="23"/>
  <c r="AD41" i="23"/>
  <c r="Z42" i="23"/>
  <c r="AJ43" i="23"/>
  <c r="AF46" i="23"/>
  <c r="AO49" i="23"/>
  <c r="Q50" i="23"/>
  <c r="M50" i="23"/>
  <c r="AO43" i="23"/>
  <c r="AM50" i="23"/>
  <c r="Q31" i="24"/>
  <c r="N32" i="24"/>
  <c r="O32" i="24" s="1"/>
  <c r="AS32" i="24"/>
  <c r="AF33" i="24"/>
  <c r="N37" i="24"/>
  <c r="O37" i="24" s="1"/>
  <c r="T39" i="24"/>
  <c r="AM39" i="24"/>
  <c r="AN39" i="24" s="1"/>
  <c r="Z40" i="24"/>
  <c r="T43" i="24"/>
  <c r="T53" i="24"/>
  <c r="AV53" i="24"/>
  <c r="AJ54" i="24"/>
  <c r="AK54" i="24" s="1"/>
  <c r="Q32" i="24"/>
  <c r="AD37" i="24"/>
  <c r="AA39" i="24"/>
  <c r="AB39" i="24" s="1"/>
  <c r="AO39" i="24"/>
  <c r="AJ40" i="24"/>
  <c r="AG43" i="24"/>
  <c r="X53" i="24"/>
  <c r="AG32" i="24"/>
  <c r="AH32" i="24" s="1"/>
  <c r="AR43" i="24"/>
  <c r="AJ53" i="24"/>
  <c r="R47" i="24"/>
  <c r="AV34" i="24"/>
  <c r="Q35" i="24"/>
  <c r="AF35" i="24"/>
  <c r="AV35" i="24"/>
  <c r="AA36" i="24"/>
  <c r="AV42" i="24"/>
  <c r="Q43" i="24"/>
  <c r="U43" i="24" s="1"/>
  <c r="AC43" i="24"/>
  <c r="AO43" i="24"/>
  <c r="T46" i="24"/>
  <c r="AU46" i="24"/>
  <c r="T49" i="24"/>
  <c r="W50" i="24"/>
  <c r="AS50" i="24"/>
  <c r="AK35" i="24"/>
  <c r="AA46" i="24"/>
  <c r="AD49" i="24"/>
  <c r="AF50" i="24"/>
  <c r="AU50" i="24"/>
  <c r="Z34" i="24"/>
  <c r="X35" i="24"/>
  <c r="AO35" i="24"/>
  <c r="AV36" i="24"/>
  <c r="T42" i="24"/>
  <c r="X43" i="24"/>
  <c r="AI43" i="24"/>
  <c r="AS43" i="24"/>
  <c r="Z44" i="24"/>
  <c r="AA45" i="24"/>
  <c r="M46" i="24"/>
  <c r="AF46" i="24"/>
  <c r="AG48" i="24"/>
  <c r="M49" i="24"/>
  <c r="AJ49" i="24"/>
  <c r="AK49" i="24" s="1"/>
  <c r="M50" i="24"/>
  <c r="AG50" i="24"/>
  <c r="AP32" i="24"/>
  <c r="AD32" i="24"/>
  <c r="AS33" i="24"/>
  <c r="AG34" i="24"/>
  <c r="M35" i="24"/>
  <c r="AC35" i="24"/>
  <c r="AU35" i="24"/>
  <c r="Z36" i="24"/>
  <c r="AI37" i="24"/>
  <c r="X39" i="24"/>
  <c r="Y39" i="24" s="1"/>
  <c r="AG39" i="24"/>
  <c r="AH39" i="24" s="1"/>
  <c r="AF40" i="24"/>
  <c r="AL41" i="24"/>
  <c r="AD42" i="24"/>
  <c r="AE42" i="24" s="1"/>
  <c r="M43" i="24"/>
  <c r="AA43" i="24"/>
  <c r="AJ43" i="24"/>
  <c r="AV43" i="24"/>
  <c r="AW43" i="24" s="1"/>
  <c r="AI44" i="24"/>
  <c r="AU45" i="24"/>
  <c r="Q46" i="24"/>
  <c r="AJ46" i="24"/>
  <c r="AF47" i="24"/>
  <c r="AO48" i="24"/>
  <c r="N49" i="24"/>
  <c r="O49" i="24" s="1"/>
  <c r="AO49" i="24"/>
  <c r="Q50" i="24"/>
  <c r="AM50" i="24"/>
  <c r="AF53" i="24"/>
  <c r="AG33" i="24"/>
  <c r="AH33" i="24" s="1"/>
  <c r="AF38" i="24"/>
  <c r="AD38" i="24"/>
  <c r="Q38" i="24"/>
  <c r="AP51" i="24"/>
  <c r="Z51" i="24"/>
  <c r="X51" i="24"/>
  <c r="T33" i="24"/>
  <c r="T34" i="24"/>
  <c r="AO33" i="24"/>
  <c r="AC33" i="24"/>
  <c r="Q33" i="24"/>
  <c r="AV33" i="24"/>
  <c r="AW33" i="24" s="1"/>
  <c r="AJ33" i="24"/>
  <c r="M33" i="24"/>
  <c r="Y33" i="24" s="1"/>
  <c r="AP34" i="24"/>
  <c r="AF34" i="24"/>
  <c r="Q34" i="24"/>
  <c r="AO34" i="24"/>
  <c r="AD34" i="24"/>
  <c r="M34" i="24"/>
  <c r="AW34" i="24" s="1"/>
  <c r="AL34" i="24"/>
  <c r="AR38" i="24"/>
  <c r="AM48" i="24"/>
  <c r="AD48" i="24"/>
  <c r="AE48" i="24" s="1"/>
  <c r="Q48" i="24"/>
  <c r="AL48" i="24"/>
  <c r="AC48" i="24"/>
  <c r="N48" i="24"/>
  <c r="O48" i="24" s="1"/>
  <c r="AI48" i="24"/>
  <c r="AA48" i="24"/>
  <c r="M48" i="24"/>
  <c r="AW35" i="24"/>
  <c r="R41" i="24"/>
  <c r="AD41" i="24"/>
  <c r="AM41" i="24"/>
  <c r="X42" i="24"/>
  <c r="Y42" i="24" s="1"/>
  <c r="AO42" i="24"/>
  <c r="AA44" i="24"/>
  <c r="AJ44" i="24"/>
  <c r="AC45" i="24"/>
  <c r="AP47" i="24"/>
  <c r="W54" i="24"/>
  <c r="AC54" i="24"/>
  <c r="AM54" i="24"/>
  <c r="AS54" i="24"/>
  <c r="AC32" i="24"/>
  <c r="T35" i="24"/>
  <c r="Y35" i="24"/>
  <c r="AG35" i="24"/>
  <c r="AF36" i="24"/>
  <c r="W37" i="24"/>
  <c r="AS37" i="24"/>
  <c r="W39" i="24"/>
  <c r="AC39" i="24"/>
  <c r="AJ39" i="24"/>
  <c r="AK39" i="24" s="1"/>
  <c r="AS39" i="24"/>
  <c r="AT39" i="24" s="1"/>
  <c r="AA40" i="24"/>
  <c r="M41" i="24"/>
  <c r="AT41" i="24" s="1"/>
  <c r="W41" i="24"/>
  <c r="AG41" i="24"/>
  <c r="AH41" i="24" s="1"/>
  <c r="AO41" i="24"/>
  <c r="M42" i="24"/>
  <c r="Z42" i="24"/>
  <c r="AP42" i="24"/>
  <c r="W43" i="24"/>
  <c r="AF43" i="24"/>
  <c r="AM43" i="24"/>
  <c r="N44" i="24"/>
  <c r="O44" i="24" s="1"/>
  <c r="AD44" i="24"/>
  <c r="AU44" i="24"/>
  <c r="M45" i="24"/>
  <c r="AB45" i="24" s="1"/>
  <c r="AG45" i="24"/>
  <c r="AH45" i="24" s="1"/>
  <c r="U46" i="24"/>
  <c r="T47" i="24"/>
  <c r="AV47" i="24"/>
  <c r="T50" i="24"/>
  <c r="X50" i="24" s="1"/>
  <c r="Y50" i="24" s="1"/>
  <c r="AA50" i="24"/>
  <c r="AI50" i="24"/>
  <c r="AO50" i="24"/>
  <c r="AV50" i="24"/>
  <c r="AW50" i="24" s="1"/>
  <c r="AC53" i="24"/>
  <c r="M54" i="24"/>
  <c r="X54" i="24"/>
  <c r="AF54" i="24"/>
  <c r="AG54" i="24" s="1"/>
  <c r="AH54" i="24" s="1"/>
  <c r="AU54" i="24"/>
  <c r="AA35" i="24"/>
  <c r="AI35" i="24"/>
  <c r="AS35" i="24"/>
  <c r="AT35" i="24" s="1"/>
  <c r="AC37" i="24"/>
  <c r="N41" i="24"/>
  <c r="O41" i="24" s="1"/>
  <c r="AA41" i="24"/>
  <c r="AB41" i="24" s="1"/>
  <c r="AI41" i="24"/>
  <c r="N42" i="24"/>
  <c r="O42" i="24" s="1"/>
  <c r="P42" i="24" s="1"/>
  <c r="AC42" i="24"/>
  <c r="T44" i="24"/>
  <c r="AF44" i="24"/>
  <c r="Z45" i="24"/>
  <c r="U50" i="24"/>
  <c r="AC50" i="24"/>
  <c r="AJ50" i="24"/>
  <c r="Q54" i="24"/>
  <c r="U54" i="24" s="1"/>
  <c r="V54" i="24" s="1"/>
  <c r="AA54" i="24"/>
  <c r="AI54" i="24"/>
  <c r="AO54" i="24"/>
  <c r="AV54" i="24"/>
  <c r="AK11" i="24"/>
  <c r="AV13" i="24"/>
  <c r="AR13" i="24"/>
  <c r="AJ13" i="24"/>
  <c r="AF13" i="24"/>
  <c r="X13" i="24"/>
  <c r="T13" i="24"/>
  <c r="AS13" i="24"/>
  <c r="AO13" i="24"/>
  <c r="AP13" i="24" s="1"/>
  <c r="AG13" i="24"/>
  <c r="AC13" i="24"/>
  <c r="Q13" i="24"/>
  <c r="M13" i="24"/>
  <c r="AB13" i="24" s="1"/>
  <c r="AS25" i="24"/>
  <c r="AO25" i="24"/>
  <c r="AG25" i="24"/>
  <c r="AC25" i="24"/>
  <c r="U25" i="24"/>
  <c r="Q25" i="24"/>
  <c r="M25" i="24"/>
  <c r="AR25" i="24"/>
  <c r="AM25" i="24"/>
  <c r="W25" i="24"/>
  <c r="AI25" i="24"/>
  <c r="AD25" i="24"/>
  <c r="X25" i="24"/>
  <c r="N25" i="24"/>
  <c r="O25" i="24" s="1"/>
  <c r="P25" i="24" s="1"/>
  <c r="T25" i="24"/>
  <c r="AP25" i="24"/>
  <c r="AU7" i="24"/>
  <c r="AM7" i="24"/>
  <c r="AI7" i="24"/>
  <c r="AJ7" i="24" s="1"/>
  <c r="AA7" i="24"/>
  <c r="W7" i="24"/>
  <c r="Z7" i="24"/>
  <c r="AP7" i="24"/>
  <c r="Z13" i="24"/>
  <c r="AK15" i="24"/>
  <c r="AV17" i="24"/>
  <c r="AR17" i="24"/>
  <c r="AJ17" i="24"/>
  <c r="AK17" i="24" s="1"/>
  <c r="AF17" i="24"/>
  <c r="X17" i="24"/>
  <c r="T17" i="24"/>
  <c r="AS17" i="24"/>
  <c r="AT17" i="24" s="1"/>
  <c r="AO17" i="24"/>
  <c r="AG17" i="24"/>
  <c r="AC17" i="24"/>
  <c r="Y17" i="24"/>
  <c r="Q17" i="24"/>
  <c r="M17" i="24"/>
  <c r="Z17" i="24"/>
  <c r="AH17" i="24"/>
  <c r="AV6" i="24"/>
  <c r="AR6" i="24"/>
  <c r="AJ6" i="24"/>
  <c r="AF6" i="24"/>
  <c r="X6" i="24"/>
  <c r="T6" i="24"/>
  <c r="O6" i="24"/>
  <c r="P6" i="24" s="1"/>
  <c r="Z6" i="24"/>
  <c r="AK6" i="24"/>
  <c r="AP6" i="24"/>
  <c r="AU6" i="24"/>
  <c r="Q7" i="24"/>
  <c r="AB7" i="24"/>
  <c r="AG7" i="24"/>
  <c r="AL7" i="24"/>
  <c r="AR7" i="24"/>
  <c r="S10" i="24"/>
  <c r="AA13" i="24"/>
  <c r="AI13" i="24"/>
  <c r="AU14" i="24"/>
  <c r="AM14" i="24"/>
  <c r="AI14" i="24"/>
  <c r="AA14" i="24"/>
  <c r="W14" i="24"/>
  <c r="AV14" i="24"/>
  <c r="AR14" i="24"/>
  <c r="AJ14" i="24"/>
  <c r="AF14" i="24"/>
  <c r="X14" i="24"/>
  <c r="T14" i="24"/>
  <c r="U14" i="24" s="1"/>
  <c r="Z14" i="24"/>
  <c r="AA17" i="24"/>
  <c r="AI17" i="24"/>
  <c r="AV18" i="24"/>
  <c r="AR18" i="24"/>
  <c r="AJ18" i="24"/>
  <c r="AF18" i="24"/>
  <c r="X18" i="24"/>
  <c r="T18" i="24"/>
  <c r="AW18" i="24"/>
  <c r="AL18" i="24"/>
  <c r="AA18" i="24"/>
  <c r="Q18" i="24"/>
  <c r="AS18" i="24"/>
  <c r="AM18" i="24"/>
  <c r="AC18" i="24"/>
  <c r="W18" i="24"/>
  <c r="M18" i="24"/>
  <c r="U18" i="24"/>
  <c r="V18" i="24" s="1"/>
  <c r="AP18" i="24"/>
  <c r="AU19" i="24"/>
  <c r="AM19" i="24"/>
  <c r="AI19" i="24"/>
  <c r="AA19" i="24"/>
  <c r="W19" i="24"/>
  <c r="AS19" i="24"/>
  <c r="AC19" i="24"/>
  <c r="X19" i="24"/>
  <c r="R19" i="24"/>
  <c r="M19" i="24"/>
  <c r="S19" i="24" s="1"/>
  <c r="AO19" i="24"/>
  <c r="AD19" i="24"/>
  <c r="T19" i="24"/>
  <c r="U19" i="24" s="1"/>
  <c r="N19" i="24"/>
  <c r="O19" i="24" s="1"/>
  <c r="AF19" i="24"/>
  <c r="AP19" i="24"/>
  <c r="AF25" i="24"/>
  <c r="AS30" i="24"/>
  <c r="AO30" i="24"/>
  <c r="AG30" i="24"/>
  <c r="AC30" i="24"/>
  <c r="Q30" i="24"/>
  <c r="M30" i="24"/>
  <c r="AV30" i="24"/>
  <c r="AL30" i="24"/>
  <c r="AF30" i="24"/>
  <c r="AA30" i="24"/>
  <c r="AR30" i="24"/>
  <c r="AM30" i="24"/>
  <c r="W30" i="24"/>
  <c r="T30" i="24"/>
  <c r="AP30" i="24"/>
  <c r="AU31" i="24"/>
  <c r="AI31" i="24"/>
  <c r="AA31" i="24"/>
  <c r="W31" i="24"/>
  <c r="AV31" i="24"/>
  <c r="AR31" i="24"/>
  <c r="AJ31" i="24"/>
  <c r="AF31" i="24"/>
  <c r="X31" i="24"/>
  <c r="T31" i="24"/>
  <c r="U31" i="24" s="1"/>
  <c r="AO31" i="24"/>
  <c r="AG31" i="24"/>
  <c r="R31" i="24"/>
  <c r="M31" i="24"/>
  <c r="AB31" i="24" s="1"/>
  <c r="AP31" i="24"/>
  <c r="Z31" i="24"/>
  <c r="N31" i="24"/>
  <c r="O31" i="24" s="1"/>
  <c r="AV52" i="24"/>
  <c r="AR52" i="24"/>
  <c r="AJ52" i="24"/>
  <c r="AF52" i="24"/>
  <c r="X52" i="24"/>
  <c r="T52" i="24"/>
  <c r="AS52" i="24"/>
  <c r="AM52" i="24"/>
  <c r="AC52" i="24"/>
  <c r="W52" i="24"/>
  <c r="R52" i="24"/>
  <c r="M52" i="24"/>
  <c r="Y52" i="24" s="1"/>
  <c r="AO52" i="24"/>
  <c r="AI52" i="24"/>
  <c r="N52" i="24"/>
  <c r="O52" i="24" s="1"/>
  <c r="P52" i="24" s="1"/>
  <c r="AL52" i="24"/>
  <c r="AA52" i="24"/>
  <c r="Q52" i="24"/>
  <c r="AP52" i="24"/>
  <c r="Z52" i="24"/>
  <c r="AU52" i="24"/>
  <c r="Q6" i="24"/>
  <c r="V6" i="24"/>
  <c r="AG6" i="24"/>
  <c r="AL6" i="24"/>
  <c r="M7" i="24"/>
  <c r="AE7" i="24" s="1"/>
  <c r="R7" i="24"/>
  <c r="S7" i="24" s="1"/>
  <c r="X7" i="24"/>
  <c r="AC7" i="24"/>
  <c r="AH7" i="24"/>
  <c r="AN7" i="24"/>
  <c r="AS7" i="24"/>
  <c r="AV7" i="24" s="1"/>
  <c r="AU10" i="24"/>
  <c r="AQ10" i="24"/>
  <c r="AM10" i="24"/>
  <c r="AN10" i="24" s="1"/>
  <c r="AV10" i="24"/>
  <c r="AW10" i="24" s="1"/>
  <c r="AR10" i="24"/>
  <c r="AJ10" i="24"/>
  <c r="AK10" i="24" s="1"/>
  <c r="AF10" i="24"/>
  <c r="AG10" i="24" s="1"/>
  <c r="AH10" i="24" s="1"/>
  <c r="X10" i="24"/>
  <c r="Y10" i="24" s="1"/>
  <c r="T10" i="24"/>
  <c r="O10" i="24"/>
  <c r="P10" i="24" s="1"/>
  <c r="Z10" i="24"/>
  <c r="AE10" i="24"/>
  <c r="AS10" i="24"/>
  <c r="AT10" i="24" s="1"/>
  <c r="AT11" i="24"/>
  <c r="Y11" i="24"/>
  <c r="AW11" i="24"/>
  <c r="N13" i="24"/>
  <c r="O13" i="24" s="1"/>
  <c r="AD13" i="24"/>
  <c r="AL13" i="24"/>
  <c r="AT13" i="24"/>
  <c r="M14" i="24"/>
  <c r="AC14" i="24"/>
  <c r="AS14" i="24"/>
  <c r="AT15" i="24"/>
  <c r="Y15" i="24"/>
  <c r="AW15" i="24"/>
  <c r="N17" i="24"/>
  <c r="O17" i="24" s="1"/>
  <c r="P17" i="24" s="1"/>
  <c r="AD17" i="24"/>
  <c r="AL17" i="24"/>
  <c r="N18" i="24"/>
  <c r="O18" i="24" s="1"/>
  <c r="AI18" i="24"/>
  <c r="AT18" i="24"/>
  <c r="AG19" i="24"/>
  <c r="AR19" i="24"/>
  <c r="AU23" i="24"/>
  <c r="AM23" i="24"/>
  <c r="AI23" i="24"/>
  <c r="AA23" i="24"/>
  <c r="W23" i="24"/>
  <c r="X23" i="24" s="1"/>
  <c r="AR23" i="24"/>
  <c r="AL23" i="24"/>
  <c r="AG23" i="24"/>
  <c r="Q23" i="24"/>
  <c r="R23" i="24" s="1"/>
  <c r="AS23" i="24"/>
  <c r="AC23" i="24"/>
  <c r="M23" i="24"/>
  <c r="U23" i="24"/>
  <c r="AF23" i="24"/>
  <c r="AP23" i="24"/>
  <c r="X24" i="24"/>
  <c r="Y24" i="24" s="1"/>
  <c r="Z25" i="24"/>
  <c r="AA25" i="24" s="1"/>
  <c r="AB25" i="24" s="1"/>
  <c r="AJ25" i="24"/>
  <c r="AU25" i="24"/>
  <c r="N30" i="24"/>
  <c r="X30" i="24"/>
  <c r="AI30" i="24"/>
  <c r="AL31" i="24"/>
  <c r="AT32" i="24"/>
  <c r="AG52" i="24"/>
  <c r="M6" i="24"/>
  <c r="AE6" i="24" s="1"/>
  <c r="W6" i="24"/>
  <c r="AC6" i="24"/>
  <c r="AH6" i="24"/>
  <c r="AM6" i="24"/>
  <c r="AS6" i="24"/>
  <c r="N7" i="24"/>
  <c r="O7" i="24" s="1"/>
  <c r="T7" i="24"/>
  <c r="AD7" i="24"/>
  <c r="AO7" i="24"/>
  <c r="AT8" i="24"/>
  <c r="Y8" i="24"/>
  <c r="AW9" i="24"/>
  <c r="AS9" i="24"/>
  <c r="AO9" i="24"/>
  <c r="AC9" i="24"/>
  <c r="AG9" i="24" s="1"/>
  <c r="Q9" i="24"/>
  <c r="R9" i="24" s="1"/>
  <c r="M9" i="24"/>
  <c r="O9" i="24"/>
  <c r="P9" i="24" s="1"/>
  <c r="T9" i="24"/>
  <c r="Z9" i="24"/>
  <c r="AJ9" i="24"/>
  <c r="AP9" i="24"/>
  <c r="AU9" i="24"/>
  <c r="Q10" i="24"/>
  <c r="V10" i="24"/>
  <c r="AA10" i="24"/>
  <c r="AB10" i="24" s="1"/>
  <c r="AL10" i="24"/>
  <c r="AW12" i="24"/>
  <c r="W13" i="24"/>
  <c r="AM13" i="24"/>
  <c r="AU13" i="24"/>
  <c r="N14" i="24"/>
  <c r="O14" i="24" s="1"/>
  <c r="AD14" i="24"/>
  <c r="AL14" i="24"/>
  <c r="AP14" i="24" s="1"/>
  <c r="AW16" i="24"/>
  <c r="W17" i="24"/>
  <c r="AE17" i="24"/>
  <c r="AM17" i="24"/>
  <c r="AU17" i="24"/>
  <c r="Z18" i="24"/>
  <c r="AK18" i="24"/>
  <c r="AU18" i="24"/>
  <c r="Z19" i="24"/>
  <c r="AV19" i="24"/>
  <c r="N23" i="24"/>
  <c r="O23" i="24" s="1"/>
  <c r="AJ23" i="24"/>
  <c r="AL25" i="24"/>
  <c r="AV25" i="24"/>
  <c r="AT26" i="24"/>
  <c r="S26" i="24"/>
  <c r="AK28" i="24"/>
  <c r="AW28" i="24"/>
  <c r="Y28" i="24"/>
  <c r="AN28" i="24"/>
  <c r="Z30" i="24"/>
  <c r="AJ30" i="24"/>
  <c r="AU30" i="24"/>
  <c r="AC31" i="24"/>
  <c r="AS31" i="24"/>
  <c r="N8" i="24"/>
  <c r="R8" i="24" s="1"/>
  <c r="S8" i="24" s="1"/>
  <c r="Z8" i="24"/>
  <c r="AD8" i="24"/>
  <c r="AE8" i="24" s="1"/>
  <c r="AH8" i="24"/>
  <c r="AL8" i="24"/>
  <c r="AM8" i="24" s="1"/>
  <c r="AN8" i="24" s="1"/>
  <c r="AP8" i="24"/>
  <c r="AQ8" i="24" s="1"/>
  <c r="W11" i="24"/>
  <c r="AA11" i="24"/>
  <c r="AB11" i="24" s="1"/>
  <c r="AI11" i="24"/>
  <c r="AU11" i="24"/>
  <c r="N12" i="24"/>
  <c r="O12" i="24" s="1"/>
  <c r="P12" i="24" s="1"/>
  <c r="R12" i="24"/>
  <c r="S12" i="24" s="1"/>
  <c r="V12" i="24"/>
  <c r="Z12" i="24"/>
  <c r="AD12" i="24"/>
  <c r="AE12" i="24" s="1"/>
  <c r="AH12" i="24"/>
  <c r="AL12" i="24"/>
  <c r="AM12" i="24" s="1"/>
  <c r="AN12" i="24" s="1"/>
  <c r="AP12" i="24"/>
  <c r="AQ12" i="24" s="1"/>
  <c r="W15" i="24"/>
  <c r="AA15" i="24"/>
  <c r="AB15" i="24" s="1"/>
  <c r="AI15" i="24"/>
  <c r="AM15" i="24"/>
  <c r="AN15" i="24" s="1"/>
  <c r="AU15" i="24"/>
  <c r="N16" i="24"/>
  <c r="O16" i="24" s="1"/>
  <c r="P16" i="24" s="1"/>
  <c r="R16" i="24"/>
  <c r="S16" i="24" s="1"/>
  <c r="V16" i="24"/>
  <c r="Z16" i="24"/>
  <c r="AD16" i="24"/>
  <c r="AE16" i="24" s="1"/>
  <c r="AH16" i="24"/>
  <c r="AL16" i="24"/>
  <c r="AP16" i="24"/>
  <c r="AQ16" i="24" s="1"/>
  <c r="AT20" i="24"/>
  <c r="Y20" i="24"/>
  <c r="AS21" i="24"/>
  <c r="AO21" i="24"/>
  <c r="AP21" i="24" s="1"/>
  <c r="AG21" i="24"/>
  <c r="AC21" i="24"/>
  <c r="Q21" i="24"/>
  <c r="R21" i="24" s="1"/>
  <c r="M21" i="24"/>
  <c r="T21" i="24"/>
  <c r="Z21" i="24"/>
  <c r="AJ21" i="24"/>
  <c r="AU21" i="24"/>
  <c r="Q22" i="24"/>
  <c r="R22" i="24" s="1"/>
  <c r="S22" i="24" s="1"/>
  <c r="AA22" i="24"/>
  <c r="AB22" i="24" s="1"/>
  <c r="AG22" i="24"/>
  <c r="AH22" i="24" s="1"/>
  <c r="AL22" i="24"/>
  <c r="AM22" i="24" s="1"/>
  <c r="AN22" i="24" s="1"/>
  <c r="AV26" i="24"/>
  <c r="AW26" i="24" s="1"/>
  <c r="AR26" i="24"/>
  <c r="AN26" i="24"/>
  <c r="AJ26" i="24"/>
  <c r="AK26" i="24" s="1"/>
  <c r="AF26" i="24"/>
  <c r="X26" i="24"/>
  <c r="Y26" i="24" s="1"/>
  <c r="T26" i="24"/>
  <c r="P26" i="24"/>
  <c r="U26" i="24"/>
  <c r="V26" i="24" s="1"/>
  <c r="Z26" i="24"/>
  <c r="AA26" i="24" s="1"/>
  <c r="AB26" i="24" s="1"/>
  <c r="AE26" i="24"/>
  <c r="AP26" i="24"/>
  <c r="AQ27" i="24" s="1"/>
  <c r="AU26" i="24"/>
  <c r="Q27" i="24"/>
  <c r="U27" i="24" s="1"/>
  <c r="V27" i="24" s="1"/>
  <c r="AL27" i="24"/>
  <c r="AR27" i="24"/>
  <c r="AU32" i="24"/>
  <c r="AM32" i="24"/>
  <c r="AN32" i="24" s="1"/>
  <c r="AI32" i="24"/>
  <c r="AE32" i="24"/>
  <c r="AA32" i="24"/>
  <c r="W32" i="24"/>
  <c r="AV32" i="24"/>
  <c r="AW32" i="24" s="1"/>
  <c r="AR32" i="24"/>
  <c r="AJ32" i="24"/>
  <c r="AK32" i="24" s="1"/>
  <c r="AF32" i="24"/>
  <c r="AB32" i="24"/>
  <c r="X32" i="24"/>
  <c r="Y32" i="24" s="1"/>
  <c r="T32" i="24"/>
  <c r="U32" i="24" s="1"/>
  <c r="V32" i="24" s="1"/>
  <c r="P32" i="24"/>
  <c r="Z32" i="24"/>
  <c r="AS36" i="24"/>
  <c r="AO36" i="24"/>
  <c r="AG36" i="24"/>
  <c r="AC36" i="24"/>
  <c r="Q36" i="24"/>
  <c r="M36" i="24"/>
  <c r="AK36" i="24" s="1"/>
  <c r="AU36" i="24"/>
  <c r="AR36" i="24"/>
  <c r="W36" i="24"/>
  <c r="AI36" i="24"/>
  <c r="AM36" i="24" s="1"/>
  <c r="AD36" i="24"/>
  <c r="X36" i="24"/>
  <c r="N36" i="24"/>
  <c r="T36" i="24"/>
  <c r="AP36" i="24"/>
  <c r="AU38" i="24"/>
  <c r="AM38" i="24"/>
  <c r="AI38" i="24"/>
  <c r="AA38" i="24"/>
  <c r="W38" i="24"/>
  <c r="AS38" i="24"/>
  <c r="AC38" i="24"/>
  <c r="M38" i="24"/>
  <c r="AN38" i="24" s="1"/>
  <c r="AV38" i="24"/>
  <c r="AO38" i="24"/>
  <c r="AG38" i="24"/>
  <c r="Z38" i="24"/>
  <c r="T38" i="24"/>
  <c r="AP38" i="24"/>
  <c r="AJ38" i="24"/>
  <c r="AB38" i="24"/>
  <c r="N38" i="24"/>
  <c r="AL38" i="24"/>
  <c r="AB43" i="24"/>
  <c r="N51" i="24"/>
  <c r="O51" i="24" s="1"/>
  <c r="N11" i="24"/>
  <c r="O11" i="24" s="1"/>
  <c r="P11" i="24" s="1"/>
  <c r="R11" i="24"/>
  <c r="S11" i="24" s="1"/>
  <c r="V11" i="24"/>
  <c r="Z11" i="24"/>
  <c r="AD11" i="24"/>
  <c r="AE11" i="24" s="1"/>
  <c r="AH11" i="24"/>
  <c r="AL11" i="24"/>
  <c r="AM11" i="24" s="1"/>
  <c r="AN11" i="24" s="1"/>
  <c r="AP11" i="24"/>
  <c r="AQ11" i="24" s="1"/>
  <c r="Y12" i="24"/>
  <c r="AK12" i="24"/>
  <c r="N15" i="24"/>
  <c r="O15" i="24" s="1"/>
  <c r="P15" i="24" s="1"/>
  <c r="V15" i="24"/>
  <c r="Z15" i="24"/>
  <c r="AD15" i="24" s="1"/>
  <c r="AE15" i="24" s="1"/>
  <c r="AH15" i="24"/>
  <c r="AL15" i="24"/>
  <c r="AP15" i="24"/>
  <c r="AQ15" i="24" s="1"/>
  <c r="Y16" i="24"/>
  <c r="AK16" i="24"/>
  <c r="AV22" i="24"/>
  <c r="AW22" i="24" s="1"/>
  <c r="AR22" i="24"/>
  <c r="AJ22" i="24"/>
  <c r="AF22" i="24"/>
  <c r="X22" i="24"/>
  <c r="Y22" i="24" s="1"/>
  <c r="T22" i="24"/>
  <c r="U22" i="24" s="1"/>
  <c r="V22" i="24" s="1"/>
  <c r="P22" i="24"/>
  <c r="Z22" i="24"/>
  <c r="AE22" i="24"/>
  <c r="AK22" i="24"/>
  <c r="AP22" i="24"/>
  <c r="AQ22" i="24" s="1"/>
  <c r="AU22" i="24"/>
  <c r="AU27" i="24"/>
  <c r="AM27" i="24"/>
  <c r="AN27" i="24" s="1"/>
  <c r="AI27" i="24"/>
  <c r="AE27" i="24"/>
  <c r="AA27" i="24"/>
  <c r="AB27" i="24" s="1"/>
  <c r="W27" i="24"/>
  <c r="S27" i="24"/>
  <c r="P27" i="24"/>
  <c r="Z27" i="24"/>
  <c r="AF27" i="24"/>
  <c r="AG27" i="24" s="1"/>
  <c r="AH27" i="24" s="1"/>
  <c r="AK27" i="24"/>
  <c r="AP27" i="24"/>
  <c r="AV27" i="24"/>
  <c r="AW27" i="24" s="1"/>
  <c r="AS51" i="24"/>
  <c r="AO51" i="24"/>
  <c r="AG51" i="24"/>
  <c r="AC51" i="24"/>
  <c r="U51" i="24"/>
  <c r="Q51" i="24"/>
  <c r="M51" i="24"/>
  <c r="AV51" i="24"/>
  <c r="AL51" i="24"/>
  <c r="AF51" i="24"/>
  <c r="AR51" i="24"/>
  <c r="AM51" i="24"/>
  <c r="W51" i="24"/>
  <c r="AD51" i="24"/>
  <c r="AU51" i="24"/>
  <c r="AI51" i="24"/>
  <c r="T51" i="24"/>
  <c r="AJ51" i="24"/>
  <c r="N20" i="24"/>
  <c r="O20" i="24" s="1"/>
  <c r="P20" i="24" s="1"/>
  <c r="R20" i="24"/>
  <c r="S20" i="24" s="1"/>
  <c r="Z20" i="24"/>
  <c r="AD20" i="24"/>
  <c r="AE20" i="24" s="1"/>
  <c r="AH20" i="24"/>
  <c r="AL20" i="24"/>
  <c r="AM20" i="24" s="1"/>
  <c r="AN20" i="24" s="1"/>
  <c r="AP20" i="24"/>
  <c r="AQ20" i="24" s="1"/>
  <c r="N24" i="24"/>
  <c r="O24" i="24" s="1"/>
  <c r="P24" i="24" s="1"/>
  <c r="V24" i="24"/>
  <c r="Z24" i="24"/>
  <c r="AD24" i="24"/>
  <c r="AE24" i="24" s="1"/>
  <c r="AH24" i="24"/>
  <c r="AL24" i="24"/>
  <c r="AP24" i="24"/>
  <c r="AQ24" i="24" s="1"/>
  <c r="N28" i="24"/>
  <c r="O28" i="24" s="1"/>
  <c r="P28" i="24" s="1"/>
  <c r="R28" i="24"/>
  <c r="S28" i="24" s="1"/>
  <c r="V28" i="24"/>
  <c r="Z28" i="24"/>
  <c r="AA28" i="24" s="1"/>
  <c r="AB28" i="24" s="1"/>
  <c r="AD28" i="24"/>
  <c r="AE28" i="24" s="1"/>
  <c r="AH28" i="24"/>
  <c r="AL28" i="24"/>
  <c r="AP28" i="24"/>
  <c r="W33" i="24"/>
  <c r="AA33" i="24"/>
  <c r="AB33" i="24" s="1"/>
  <c r="AI33" i="24"/>
  <c r="AM33" i="24"/>
  <c r="AN33" i="24" s="1"/>
  <c r="AQ33" i="24"/>
  <c r="AU33" i="24"/>
  <c r="AU34" i="24"/>
  <c r="AM34" i="24"/>
  <c r="AI34" i="24"/>
  <c r="AE34" i="24"/>
  <c r="AA34" i="24"/>
  <c r="W34" i="24"/>
  <c r="N34" i="24"/>
  <c r="X34" i="24"/>
  <c r="Y34" i="24" s="1"/>
  <c r="AC34" i="24"/>
  <c r="AS34" i="24"/>
  <c r="M37" i="24"/>
  <c r="P37" i="24" s="1"/>
  <c r="Z37" i="24"/>
  <c r="AO37" i="24"/>
  <c r="AS40" i="24"/>
  <c r="AO40" i="24"/>
  <c r="AG40" i="24"/>
  <c r="AC40" i="24"/>
  <c r="Q40" i="24"/>
  <c r="U40" i="24" s="1"/>
  <c r="M40" i="24"/>
  <c r="P40" i="24" s="1"/>
  <c r="AI40" i="24"/>
  <c r="AD40" i="24"/>
  <c r="X40" i="24"/>
  <c r="N40" i="24"/>
  <c r="O40" i="24" s="1"/>
  <c r="W40" i="24"/>
  <c r="AL40" i="24"/>
  <c r="AR40" i="24"/>
  <c r="AU42" i="24"/>
  <c r="AM42" i="24"/>
  <c r="AN42" i="24" s="1"/>
  <c r="AI42" i="24"/>
  <c r="AA42" i="24"/>
  <c r="AB42" i="24" s="1"/>
  <c r="W42" i="24"/>
  <c r="AW42" i="24"/>
  <c r="AR42" i="24"/>
  <c r="AL42" i="24"/>
  <c r="AG42" i="24"/>
  <c r="AH42" i="24" s="1"/>
  <c r="Q42" i="24"/>
  <c r="R42" i="24"/>
  <c r="S42" i="24" s="1"/>
  <c r="AF42" i="24"/>
  <c r="AT42" i="24"/>
  <c r="AS44" i="24"/>
  <c r="AO44" i="24"/>
  <c r="AG44" i="24"/>
  <c r="AC44" i="24"/>
  <c r="Q44" i="24"/>
  <c r="R44" i="24" s="1"/>
  <c r="M44" i="24"/>
  <c r="AE44" i="24" s="1"/>
  <c r="AR44" i="24"/>
  <c r="AM44" i="24"/>
  <c r="AB44" i="24"/>
  <c r="W44" i="24"/>
  <c r="X44" i="24"/>
  <c r="AL44" i="24"/>
  <c r="AV45" i="24"/>
  <c r="AR45" i="24"/>
  <c r="AN45" i="24"/>
  <c r="AJ45" i="24"/>
  <c r="AK45" i="24" s="1"/>
  <c r="AF45" i="24"/>
  <c r="X45" i="24"/>
  <c r="Y45" i="24" s="1"/>
  <c r="T45" i="24"/>
  <c r="AO45" i="24"/>
  <c r="AI45" i="24"/>
  <c r="AD45" i="24"/>
  <c r="AE45" i="24" s="1"/>
  <c r="N45" i="24"/>
  <c r="O45" i="24" s="1"/>
  <c r="Q45" i="24"/>
  <c r="W45" i="24"/>
  <c r="AL45" i="24"/>
  <c r="AS45" i="24"/>
  <c r="AS47" i="24"/>
  <c r="AO47" i="24"/>
  <c r="AG47" i="24"/>
  <c r="AC47" i="24"/>
  <c r="Q47" i="24"/>
  <c r="M47" i="24"/>
  <c r="AT47" i="24" s="1"/>
  <c r="AR47" i="24"/>
  <c r="W47" i="24"/>
  <c r="AI47" i="24"/>
  <c r="AD47" i="24"/>
  <c r="X47" i="24"/>
  <c r="N47" i="24"/>
  <c r="O47" i="24" s="1"/>
  <c r="AU47" i="24"/>
  <c r="AJ47" i="24"/>
  <c r="Z47" i="24"/>
  <c r="AL47" i="24"/>
  <c r="AK50" i="24"/>
  <c r="N33" i="24"/>
  <c r="R33" i="24" s="1"/>
  <c r="S33" i="24" s="1"/>
  <c r="Z33" i="24"/>
  <c r="AD33" i="24"/>
  <c r="AE33" i="24" s="1"/>
  <c r="AL33" i="24"/>
  <c r="AP33" i="24"/>
  <c r="AV37" i="24"/>
  <c r="AR37" i="24"/>
  <c r="AJ37" i="24"/>
  <c r="AF37" i="24"/>
  <c r="X37" i="24"/>
  <c r="T37" i="24"/>
  <c r="AL37" i="24"/>
  <c r="AG37" i="24"/>
  <c r="AA37" i="24"/>
  <c r="Q37" i="24"/>
  <c r="R37" i="24" s="1"/>
  <c r="Y37" i="24"/>
  <c r="AM37" i="24"/>
  <c r="AT43" i="24"/>
  <c r="AV41" i="24"/>
  <c r="AW41" i="24" s="1"/>
  <c r="AR41" i="24"/>
  <c r="AF41" i="24"/>
  <c r="AJ41" i="24" s="1"/>
  <c r="AK41" i="24" s="1"/>
  <c r="X41" i="24"/>
  <c r="Y41" i="24" s="1"/>
  <c r="T41" i="24"/>
  <c r="U41" i="24" s="1"/>
  <c r="V41" i="24" s="1"/>
  <c r="Z41" i="24"/>
  <c r="AE41" i="24"/>
  <c r="AP41" i="24"/>
  <c r="AU41" i="24"/>
  <c r="AT50" i="24"/>
  <c r="AK53" i="24"/>
  <c r="N35" i="24"/>
  <c r="Z35" i="24"/>
  <c r="AD35" i="24"/>
  <c r="AE35" i="24" s="1"/>
  <c r="AL35" i="24"/>
  <c r="AP35" i="24"/>
  <c r="N39" i="24"/>
  <c r="R39" i="24" s="1"/>
  <c r="S39" i="24" s="1"/>
  <c r="Z39" i="24"/>
  <c r="AD39" i="24" s="1"/>
  <c r="AE39" i="24" s="1"/>
  <c r="AL39" i="24"/>
  <c r="AP39" i="24"/>
  <c r="N43" i="24"/>
  <c r="O43" i="24" s="1"/>
  <c r="Z43" i="24"/>
  <c r="AD43" i="24"/>
  <c r="AE43" i="24" s="1"/>
  <c r="AL43" i="24"/>
  <c r="AC46" i="24"/>
  <c r="AI46" i="24"/>
  <c r="AV48" i="24"/>
  <c r="AR48" i="24"/>
  <c r="AN48" i="24"/>
  <c r="AJ48" i="24"/>
  <c r="AF48" i="24"/>
  <c r="AB48" i="24"/>
  <c r="T48" i="24"/>
  <c r="X48" i="24" s="1"/>
  <c r="Y48" i="24" s="1"/>
  <c r="U48" i="24"/>
  <c r="Z48" i="24"/>
  <c r="AP48" i="24"/>
  <c r="AU48" i="24"/>
  <c r="Q49" i="24"/>
  <c r="R49" i="24" s="1"/>
  <c r="S49" i="24" s="1"/>
  <c r="AG49" i="24"/>
  <c r="AH49" i="24" s="1"/>
  <c r="AL49" i="24"/>
  <c r="AR49" i="24"/>
  <c r="AT53" i="24"/>
  <c r="AP53" i="24"/>
  <c r="AL53" i="24"/>
  <c r="AD53" i="24"/>
  <c r="AE53" i="24" s="1"/>
  <c r="Z53" i="24"/>
  <c r="R53" i="24"/>
  <c r="S53" i="24" s="1"/>
  <c r="N53" i="24"/>
  <c r="O53" i="24" s="1"/>
  <c r="P53" i="24" s="1"/>
  <c r="AU53" i="24"/>
  <c r="AM53" i="24"/>
  <c r="AN53" i="24" s="1"/>
  <c r="AI53" i="24"/>
  <c r="AA53" i="24"/>
  <c r="AB53" i="24" s="1"/>
  <c r="W53" i="24"/>
  <c r="Q53" i="24"/>
  <c r="U53" i="24" s="1"/>
  <c r="V53" i="24" s="1"/>
  <c r="Y53" i="24"/>
  <c r="AO53" i="24"/>
  <c r="AW53" i="24"/>
  <c r="AP46" i="24"/>
  <c r="AL46" i="24"/>
  <c r="AD46" i="24"/>
  <c r="Z46" i="24"/>
  <c r="N46" i="24"/>
  <c r="O46" i="24" s="1"/>
  <c r="W46" i="24"/>
  <c r="X46" i="24" s="1"/>
  <c r="AG46" i="24"/>
  <c r="AH46" i="24" s="1"/>
  <c r="AM46" i="24"/>
  <c r="AR46" i="24"/>
  <c r="AS46" i="24" s="1"/>
  <c r="AU49" i="24"/>
  <c r="AQ49" i="24"/>
  <c r="AM49" i="24"/>
  <c r="AN49" i="24" s="1"/>
  <c r="AI49" i="24"/>
  <c r="AE49" i="24"/>
  <c r="AA49" i="24"/>
  <c r="AB49" i="24" s="1"/>
  <c r="W49" i="24"/>
  <c r="P49" i="24"/>
  <c r="U49" i="24"/>
  <c r="V49" i="24" s="1"/>
  <c r="Z49" i="24"/>
  <c r="AF49" i="24"/>
  <c r="AP49" i="24"/>
  <c r="AV49" i="24"/>
  <c r="AW49" i="24" s="1"/>
  <c r="N50" i="24"/>
  <c r="O50" i="24" s="1"/>
  <c r="P50" i="24" s="1"/>
  <c r="Z50" i="24"/>
  <c r="AD50" i="24"/>
  <c r="AL50" i="24"/>
  <c r="AP50" i="24"/>
  <c r="N54" i="24"/>
  <c r="O54" i="24" s="1"/>
  <c r="P54" i="24" s="1"/>
  <c r="R54" i="24"/>
  <c r="S54" i="24" s="1"/>
  <c r="Z54" i="24"/>
  <c r="AD54" i="24"/>
  <c r="AE54" i="24" s="1"/>
  <c r="AL54" i="24"/>
  <c r="AP54" i="24"/>
  <c r="Y54" i="24"/>
  <c r="X43" i="23"/>
  <c r="AJ46" i="23"/>
  <c r="T51" i="23"/>
  <c r="W31" i="23"/>
  <c r="X34" i="23"/>
  <c r="M43" i="23"/>
  <c r="AT43" i="23" s="1"/>
  <c r="AC43" i="23"/>
  <c r="AR43" i="23"/>
  <c r="M46" i="23"/>
  <c r="V46" i="23" s="1"/>
  <c r="AA50" i="23"/>
  <c r="AB50" i="23" s="1"/>
  <c r="AV50" i="23"/>
  <c r="AW50" i="23" s="1"/>
  <c r="AD51" i="23"/>
  <c r="AG31" i="23"/>
  <c r="AH31" i="23" s="1"/>
  <c r="AP34" i="23"/>
  <c r="Q43" i="23"/>
  <c r="U43" i="23" s="1"/>
  <c r="AF43" i="23"/>
  <c r="AV43" i="23"/>
  <c r="Q46" i="23"/>
  <c r="AI50" i="23"/>
  <c r="AS35" i="23"/>
  <c r="AA40" i="23"/>
  <c r="AA48" i="23"/>
  <c r="AB48" i="23" s="1"/>
  <c r="AC34" i="23"/>
  <c r="AR34" i="23"/>
  <c r="M35" i="23"/>
  <c r="AQ35" i="23" s="1"/>
  <c r="AG35" i="23"/>
  <c r="N40" i="23"/>
  <c r="O40" i="23" s="1"/>
  <c r="AD40" i="23"/>
  <c r="AV40" i="23"/>
  <c r="AF47" i="23"/>
  <c r="M48" i="23"/>
  <c r="AQ48" i="23" s="1"/>
  <c r="AC48" i="23"/>
  <c r="AO48" i="23"/>
  <c r="M34" i="23"/>
  <c r="AQ34" i="23" s="1"/>
  <c r="AF34" i="23"/>
  <c r="AG34" i="23" s="1"/>
  <c r="AS34" i="23"/>
  <c r="Q35" i="23"/>
  <c r="AI35" i="23"/>
  <c r="Z37" i="23"/>
  <c r="R40" i="23"/>
  <c r="AF40" i="23"/>
  <c r="W43" i="23"/>
  <c r="AI43" i="23"/>
  <c r="W44" i="23"/>
  <c r="T46" i="23"/>
  <c r="AU46" i="23"/>
  <c r="AV47" i="23"/>
  <c r="N48" i="23"/>
  <c r="O48" i="23" s="1"/>
  <c r="AD48" i="23"/>
  <c r="T50" i="23"/>
  <c r="AF50" i="23"/>
  <c r="AO50" i="23"/>
  <c r="AA35" i="23"/>
  <c r="AR40" i="23"/>
  <c r="AL48" i="23"/>
  <c r="Q34" i="23"/>
  <c r="X35" i="23"/>
  <c r="AR35" i="23"/>
  <c r="W40" i="23"/>
  <c r="AL40" i="23"/>
  <c r="AM40" i="23" s="1"/>
  <c r="AL44" i="23"/>
  <c r="AA46" i="23"/>
  <c r="Q48" i="23"/>
  <c r="AI48" i="23"/>
  <c r="W50" i="23"/>
  <c r="X50" i="23" s="1"/>
  <c r="Y50" i="23" s="1"/>
  <c r="AG50" i="23"/>
  <c r="AH50" i="23" s="1"/>
  <c r="AR50" i="23"/>
  <c r="W39" i="23"/>
  <c r="AJ39" i="23"/>
  <c r="T30" i="23"/>
  <c r="AV30" i="23"/>
  <c r="AD32" i="23"/>
  <c r="M33" i="23"/>
  <c r="AT33" i="23" s="1"/>
  <c r="AC33" i="23"/>
  <c r="X39" i="23"/>
  <c r="AM44" i="23"/>
  <c r="N45" i="23"/>
  <c r="O45" i="23" s="1"/>
  <c r="AJ47" i="23"/>
  <c r="AC49" i="23"/>
  <c r="AS54" i="23"/>
  <c r="AA30" i="23"/>
  <c r="Q31" i="23"/>
  <c r="AC31" i="23"/>
  <c r="AI31" i="23"/>
  <c r="AS31" i="23"/>
  <c r="AT31" i="23" s="1"/>
  <c r="N32" i="23"/>
  <c r="O32" i="23" s="1"/>
  <c r="AG32" i="23"/>
  <c r="Q33" i="23"/>
  <c r="AF33" i="23"/>
  <c r="AR33" i="23"/>
  <c r="Z34" i="23"/>
  <c r="T35" i="23"/>
  <c r="AC35" i="23"/>
  <c r="AJ35" i="23"/>
  <c r="AU35" i="23"/>
  <c r="X36" i="23"/>
  <c r="Q39" i="23"/>
  <c r="AA39" i="23"/>
  <c r="AG39" i="23"/>
  <c r="AM39" i="23"/>
  <c r="AS39" i="23"/>
  <c r="X40" i="23"/>
  <c r="AA43" i="23"/>
  <c r="AG43" i="23"/>
  <c r="AM43" i="23"/>
  <c r="AU43" i="23"/>
  <c r="N44" i="23"/>
  <c r="O44" i="23" s="1"/>
  <c r="AD44" i="23"/>
  <c r="AU44" i="23"/>
  <c r="Z45" i="23"/>
  <c r="U46" i="23"/>
  <c r="Z47" i="23"/>
  <c r="AL47" i="23"/>
  <c r="W48" i="23"/>
  <c r="AG48" i="23"/>
  <c r="AH48" i="23" s="1"/>
  <c r="M49" i="23"/>
  <c r="AQ49" i="23" s="1"/>
  <c r="AD49" i="23"/>
  <c r="U50" i="23"/>
  <c r="V50" i="23" s="1"/>
  <c r="AC50" i="23"/>
  <c r="AJ50" i="23"/>
  <c r="AK50" i="23" s="1"/>
  <c r="T53" i="23"/>
  <c r="U53" i="23" s="1"/>
  <c r="AF53" i="23"/>
  <c r="AG53" i="23" s="1"/>
  <c r="AH53" i="23" s="1"/>
  <c r="AS53" i="23"/>
  <c r="M54" i="23"/>
  <c r="AN54" i="23" s="1"/>
  <c r="X54" i="23"/>
  <c r="AF54" i="23"/>
  <c r="AM30" i="23"/>
  <c r="AC32" i="23"/>
  <c r="AO32" i="23"/>
  <c r="AP32" i="23" s="1"/>
  <c r="X33" i="23"/>
  <c r="AV33" i="23"/>
  <c r="AW33" i="23" s="1"/>
  <c r="AC39" i="23"/>
  <c r="AO39" i="23"/>
  <c r="AV39" i="23"/>
  <c r="AL45" i="23"/>
  <c r="M32" i="23"/>
  <c r="AS32" i="23"/>
  <c r="AO33" i="23"/>
  <c r="M39" i="23"/>
  <c r="AF39" i="23"/>
  <c r="AR39" i="23"/>
  <c r="AA44" i="23"/>
  <c r="W54" i="23"/>
  <c r="AC54" i="23"/>
  <c r="AM54" i="23"/>
  <c r="AL30" i="23"/>
  <c r="R31" i="23"/>
  <c r="S31" i="23" s="1"/>
  <c r="AD31" i="23"/>
  <c r="AL31" i="23"/>
  <c r="Q32" i="23"/>
  <c r="R32" i="23" s="1"/>
  <c r="T33" i="23"/>
  <c r="AJ33" i="23"/>
  <c r="W35" i="23"/>
  <c r="AF35" i="23"/>
  <c r="AO35" i="23"/>
  <c r="T39" i="23"/>
  <c r="AI39" i="23"/>
  <c r="AC45" i="23"/>
  <c r="AA47" i="23"/>
  <c r="N49" i="23"/>
  <c r="O49" i="23" s="1"/>
  <c r="AJ53" i="23"/>
  <c r="Q54" i="23"/>
  <c r="U54" i="23" s="1"/>
  <c r="V54" i="23" s="1"/>
  <c r="AA54" i="23"/>
  <c r="AI54" i="23"/>
  <c r="AO54" i="23"/>
  <c r="AV54" i="23"/>
  <c r="AR7" i="23"/>
  <c r="AF7" i="23"/>
  <c r="X7" i="23"/>
  <c r="T7" i="23"/>
  <c r="AU7" i="23"/>
  <c r="AM7" i="23"/>
  <c r="AI7" i="23"/>
  <c r="AJ7" i="23" s="1"/>
  <c r="AA7" i="23"/>
  <c r="AB7" i="23" s="1"/>
  <c r="W7" i="23"/>
  <c r="Z7" i="23"/>
  <c r="AP7" i="23"/>
  <c r="R22" i="23"/>
  <c r="M7" i="23"/>
  <c r="AN7" i="23" s="1"/>
  <c r="AC7" i="23"/>
  <c r="AK7" i="23"/>
  <c r="AS7" i="23"/>
  <c r="AV7" i="23" s="1"/>
  <c r="O6" i="23"/>
  <c r="N7" i="23"/>
  <c r="O7" i="23" s="1"/>
  <c r="AD7" i="23"/>
  <c r="AK9" i="23"/>
  <c r="AF10" i="23"/>
  <c r="T10" i="23"/>
  <c r="AU10" i="23"/>
  <c r="AS10" i="23"/>
  <c r="AO10" i="23"/>
  <c r="AC10" i="23"/>
  <c r="Y10" i="23"/>
  <c r="Q10" i="23"/>
  <c r="M10" i="23"/>
  <c r="AV10" i="23"/>
  <c r="AR10" i="23"/>
  <c r="AJ10" i="23"/>
  <c r="X10" i="23"/>
  <c r="P10" i="23"/>
  <c r="Z10" i="23"/>
  <c r="AH19" i="23"/>
  <c r="AK20" i="23"/>
  <c r="AW20" i="23"/>
  <c r="Y20" i="23"/>
  <c r="AB20" i="23"/>
  <c r="AL23" i="23"/>
  <c r="T6" i="23"/>
  <c r="AS6" i="23"/>
  <c r="AO6" i="23"/>
  <c r="AG6" i="23"/>
  <c r="AC6" i="23"/>
  <c r="Q6" i="23"/>
  <c r="M6" i="23"/>
  <c r="AB6" i="23" s="1"/>
  <c r="AV6" i="23"/>
  <c r="AR6" i="23"/>
  <c r="AJ6" i="23"/>
  <c r="AF6" i="23"/>
  <c r="X6" i="23"/>
  <c r="Z6" i="23"/>
  <c r="AA6" i="23" s="1"/>
  <c r="AH6" i="23"/>
  <c r="AP6" i="23"/>
  <c r="Q7" i="23"/>
  <c r="AG7" i="23"/>
  <c r="AO7" i="23"/>
  <c r="AW7" i="23"/>
  <c r="AA10" i="23"/>
  <c r="AB10" i="23" s="1"/>
  <c r="AI10" i="23"/>
  <c r="AT10" i="23"/>
  <c r="AQ18" i="23"/>
  <c r="V18" i="23"/>
  <c r="AV22" i="23"/>
  <c r="AR22" i="23"/>
  <c r="AJ22" i="23"/>
  <c r="AF22" i="23"/>
  <c r="X22" i="23"/>
  <c r="T22" i="23"/>
  <c r="U22" i="23" s="1"/>
  <c r="AS22" i="23"/>
  <c r="AC22" i="23"/>
  <c r="W22" i="23"/>
  <c r="M22" i="23"/>
  <c r="AK22" i="23" s="1"/>
  <c r="AP22" i="23"/>
  <c r="AI22" i="23"/>
  <c r="AA22" i="23"/>
  <c r="N22" i="23"/>
  <c r="O22" i="23" s="1"/>
  <c r="AU22" i="23"/>
  <c r="AG22" i="23"/>
  <c r="S22" i="23"/>
  <c r="AD22" i="23"/>
  <c r="AO22" i="23"/>
  <c r="Z22" i="23"/>
  <c r="AL22" i="23"/>
  <c r="Q23" i="23"/>
  <c r="AQ39" i="23"/>
  <c r="AQ28" i="23"/>
  <c r="Q27" i="23"/>
  <c r="R7" i="23"/>
  <c r="S7" i="23" s="1"/>
  <c r="AH7" i="23"/>
  <c r="V19" i="23"/>
  <c r="AT19" i="23"/>
  <c r="Y19" i="23"/>
  <c r="O10" i="23"/>
  <c r="AT13" i="23"/>
  <c r="AL7" i="23"/>
  <c r="R10" i="23"/>
  <c r="S10" i="23" s="1"/>
  <c r="AP10" i="23"/>
  <c r="AS16" i="23"/>
  <c r="AO16" i="23"/>
  <c r="AG16" i="23"/>
  <c r="AC16" i="23"/>
  <c r="Q16" i="23"/>
  <c r="U16" i="23" s="1"/>
  <c r="M16" i="23"/>
  <c r="AE16" i="23" s="1"/>
  <c r="AR16" i="23"/>
  <c r="AM16" i="23"/>
  <c r="W16" i="23"/>
  <c r="R16" i="23"/>
  <c r="AV16" i="23"/>
  <c r="AL16" i="23"/>
  <c r="AA16" i="23"/>
  <c r="AN16" i="23"/>
  <c r="AI16" i="23"/>
  <c r="AD16" i="23"/>
  <c r="X16" i="23"/>
  <c r="S16" i="23"/>
  <c r="N16" i="23"/>
  <c r="O16" i="23" s="1"/>
  <c r="AF16" i="23"/>
  <c r="AU23" i="23"/>
  <c r="AM23" i="23"/>
  <c r="AI23" i="23"/>
  <c r="AA23" i="23"/>
  <c r="W23" i="23"/>
  <c r="AO23" i="23"/>
  <c r="AJ23" i="23"/>
  <c r="AD23" i="23"/>
  <c r="T23" i="23"/>
  <c r="N23" i="23"/>
  <c r="O23" i="23" s="1"/>
  <c r="P23" i="23" s="1"/>
  <c r="AP23" i="23"/>
  <c r="AB23" i="23"/>
  <c r="U23" i="23"/>
  <c r="V23" i="23" s="1"/>
  <c r="M23" i="23"/>
  <c r="Z23" i="23"/>
  <c r="AR23" i="23"/>
  <c r="AC23" i="23"/>
  <c r="AV23" i="23"/>
  <c r="AG23" i="23"/>
  <c r="AU27" i="23"/>
  <c r="AM27" i="23"/>
  <c r="AI27" i="23"/>
  <c r="AA27" i="23"/>
  <c r="W27" i="23"/>
  <c r="AS27" i="23"/>
  <c r="AC27" i="23"/>
  <c r="AG27" i="23" s="1"/>
  <c r="X27" i="23"/>
  <c r="R27" i="23"/>
  <c r="M27" i="23"/>
  <c r="S27" i="23" s="1"/>
  <c r="AP27" i="23"/>
  <c r="AJ27" i="23"/>
  <c r="N27" i="23"/>
  <c r="O27" i="23" s="1"/>
  <c r="AV27" i="23"/>
  <c r="Z27" i="23"/>
  <c r="AR27" i="23"/>
  <c r="AD27" i="23"/>
  <c r="V27" i="23"/>
  <c r="AO27" i="23"/>
  <c r="T27" i="23"/>
  <c r="U27" i="23" s="1"/>
  <c r="AL27" i="23"/>
  <c r="R11" i="23"/>
  <c r="Z11" i="23"/>
  <c r="AH11" i="23"/>
  <c r="AP11" i="23"/>
  <c r="AQ11" i="23" s="1"/>
  <c r="Y12" i="23"/>
  <c r="Z14" i="23"/>
  <c r="AK14" i="23"/>
  <c r="AV14" i="23"/>
  <c r="AW14" i="23" s="1"/>
  <c r="AS21" i="23"/>
  <c r="AO21" i="23"/>
  <c r="AG21" i="23"/>
  <c r="AC21" i="23"/>
  <c r="Q21" i="23"/>
  <c r="M21" i="23"/>
  <c r="AW21" i="23" s="1"/>
  <c r="AV21" i="23"/>
  <c r="AL21" i="23"/>
  <c r="AF21" i="23"/>
  <c r="AA21" i="23"/>
  <c r="X21" i="23"/>
  <c r="AM21" i="23"/>
  <c r="AU38" i="23"/>
  <c r="AM38" i="23"/>
  <c r="AI38" i="23"/>
  <c r="AA38" i="23"/>
  <c r="W38" i="23"/>
  <c r="AO38" i="23"/>
  <c r="AJ38" i="23"/>
  <c r="AD38" i="23"/>
  <c r="T38" i="23"/>
  <c r="N38" i="23"/>
  <c r="AP38" i="23"/>
  <c r="M38" i="23"/>
  <c r="AQ38" i="23" s="1"/>
  <c r="AR38" i="23"/>
  <c r="AC38" i="23"/>
  <c r="AS38" i="23"/>
  <c r="AF38" i="23"/>
  <c r="Q38" i="23"/>
  <c r="Z38" i="23"/>
  <c r="AL38" i="23"/>
  <c r="N8" i="23"/>
  <c r="R8" i="23" s="1"/>
  <c r="S8" i="23" s="1"/>
  <c r="V8" i="23"/>
  <c r="AD8" i="23"/>
  <c r="AH8" i="23"/>
  <c r="AP8" i="23"/>
  <c r="AQ8" i="23" s="1"/>
  <c r="AT8" i="23"/>
  <c r="Y9" i="23"/>
  <c r="AW9" i="23"/>
  <c r="W11" i="23"/>
  <c r="AW12" i="23"/>
  <c r="AS12" i="23"/>
  <c r="AT12" i="23" s="1"/>
  <c r="AO12" i="23"/>
  <c r="AG12" i="23"/>
  <c r="AH12" i="23" s="1"/>
  <c r="R12" i="23"/>
  <c r="S12" i="23" s="1"/>
  <c r="Z12" i="23"/>
  <c r="O8" i="23"/>
  <c r="P8" i="23" s="1"/>
  <c r="W8" i="23"/>
  <c r="AA8" i="23"/>
  <c r="AB8" i="23" s="1"/>
  <c r="AE8" i="23"/>
  <c r="AI8" i="23"/>
  <c r="AM8" i="23" s="1"/>
  <c r="AN8" i="23" s="1"/>
  <c r="AU8" i="23"/>
  <c r="N9" i="23"/>
  <c r="R9" i="23" s="1"/>
  <c r="S9" i="23" s="1"/>
  <c r="Z9" i="23"/>
  <c r="AD9" i="23"/>
  <c r="AE9" i="23" s="1"/>
  <c r="AH9" i="23"/>
  <c r="AL9" i="23"/>
  <c r="AP9" i="23"/>
  <c r="AQ9" i="23" s="1"/>
  <c r="P11" i="23"/>
  <c r="T11" i="23"/>
  <c r="U11" i="23" s="1"/>
  <c r="X11" i="23"/>
  <c r="Y11" i="23" s="1"/>
  <c r="AF11" i="23"/>
  <c r="AJ11" i="23"/>
  <c r="AK11" i="23" s="1"/>
  <c r="AR11" i="23"/>
  <c r="AV11" i="23"/>
  <c r="AW11" i="23" s="1"/>
  <c r="W12" i="23"/>
  <c r="AA12" i="23"/>
  <c r="AB12" i="23" s="1"/>
  <c r="AJ12" i="23"/>
  <c r="AK12" i="23" s="1"/>
  <c r="AP12" i="23"/>
  <c r="AQ12" i="23" s="1"/>
  <c r="AU12" i="23"/>
  <c r="Q13" i="23"/>
  <c r="R13" i="23" s="1"/>
  <c r="S13" i="23" s="1"/>
  <c r="AA13" i="23"/>
  <c r="AG13" i="23"/>
  <c r="AH13" i="23" s="1"/>
  <c r="AL13" i="23"/>
  <c r="AP13" i="23" s="1"/>
  <c r="AQ13" i="23" s="1"/>
  <c r="M14" i="23"/>
  <c r="X14" i="23"/>
  <c r="AC14" i="23"/>
  <c r="AW17" i="23"/>
  <c r="AS17" i="23"/>
  <c r="AT17" i="23" s="1"/>
  <c r="AO17" i="23"/>
  <c r="AP17" i="23" s="1"/>
  <c r="AQ17" i="23" s="1"/>
  <c r="AK17" i="23"/>
  <c r="AG17" i="23"/>
  <c r="AC17" i="23"/>
  <c r="AR17" i="23"/>
  <c r="AM17" i="23"/>
  <c r="AH17" i="23"/>
  <c r="AB17" i="23"/>
  <c r="X17" i="23"/>
  <c r="Y17" i="23" s="1"/>
  <c r="T17" i="23"/>
  <c r="U17" i="23" s="1"/>
  <c r="V17" i="23" s="1"/>
  <c r="P17" i="23"/>
  <c r="Z17" i="23"/>
  <c r="AF17" i="23"/>
  <c r="AN17" i="23"/>
  <c r="AU17" i="23"/>
  <c r="Z18" i="23"/>
  <c r="AM18" i="23"/>
  <c r="AN18" i="23" s="1"/>
  <c r="N21" i="23"/>
  <c r="O21" i="23" s="1"/>
  <c r="T21" i="23"/>
  <c r="AI21" i="23"/>
  <c r="Y24" i="23"/>
  <c r="AW24" i="23"/>
  <c r="N26" i="23"/>
  <c r="O26" i="23" s="1"/>
  <c r="U26" i="23"/>
  <c r="V26" i="23" s="1"/>
  <c r="AC26" i="23"/>
  <c r="AI26" i="23"/>
  <c r="AN28" i="23"/>
  <c r="Z30" i="23"/>
  <c r="AS36" i="23"/>
  <c r="AO36" i="23"/>
  <c r="AG36" i="23"/>
  <c r="AC36" i="23"/>
  <c r="Q36" i="23"/>
  <c r="M36" i="23"/>
  <c r="AV36" i="23"/>
  <c r="AL36" i="23"/>
  <c r="AF36" i="23"/>
  <c r="AA36" i="23"/>
  <c r="AU36" i="23"/>
  <c r="Z36" i="23"/>
  <c r="AP36" i="23"/>
  <c r="AI36" i="23"/>
  <c r="T36" i="23"/>
  <c r="N36" i="23"/>
  <c r="O36" i="23" s="1"/>
  <c r="AJ36" i="23"/>
  <c r="W36" i="23"/>
  <c r="AV41" i="23"/>
  <c r="AR41" i="23"/>
  <c r="AF41" i="23"/>
  <c r="X41" i="23"/>
  <c r="T41" i="23"/>
  <c r="AL41" i="23"/>
  <c r="AG41" i="23"/>
  <c r="AA41" i="23"/>
  <c r="Q41" i="23"/>
  <c r="AU41" i="23"/>
  <c r="AO41" i="23"/>
  <c r="Z41" i="23"/>
  <c r="M41" i="23"/>
  <c r="AP41" i="23"/>
  <c r="AI41" i="23"/>
  <c r="AC41" i="23"/>
  <c r="N41" i="23"/>
  <c r="O41" i="23" s="1"/>
  <c r="W41" i="23"/>
  <c r="R41" i="23"/>
  <c r="AM41" i="23"/>
  <c r="AW53" i="23"/>
  <c r="Y53" i="23"/>
  <c r="AK53" i="23"/>
  <c r="N11" i="23"/>
  <c r="O11" i="23" s="1"/>
  <c r="V11" i="23"/>
  <c r="AD11" i="23"/>
  <c r="AE11" i="23" s="1"/>
  <c r="AL11" i="23"/>
  <c r="AT11" i="23"/>
  <c r="AU14" i="23"/>
  <c r="AM14" i="23"/>
  <c r="AN14" i="23" s="1"/>
  <c r="AI14" i="23"/>
  <c r="AE14" i="23"/>
  <c r="AA14" i="23"/>
  <c r="AB14" i="23" s="1"/>
  <c r="W14" i="23"/>
  <c r="AF14" i="23"/>
  <c r="AV26" i="23"/>
  <c r="AR26" i="23"/>
  <c r="AJ26" i="23"/>
  <c r="AF26" i="23"/>
  <c r="AB26" i="23"/>
  <c r="X26" i="23"/>
  <c r="T26" i="23"/>
  <c r="P26" i="23"/>
  <c r="AW26" i="23"/>
  <c r="AL26" i="23"/>
  <c r="AG26" i="23"/>
  <c r="Q26" i="23"/>
  <c r="AM26" i="23"/>
  <c r="Z8" i="23"/>
  <c r="S11" i="23"/>
  <c r="AA11" i="23"/>
  <c r="AB11" i="23" s="1"/>
  <c r="AI11" i="23"/>
  <c r="N12" i="23"/>
  <c r="O12" i="23" s="1"/>
  <c r="P12" i="23" s="1"/>
  <c r="V12" i="23"/>
  <c r="AD12" i="23"/>
  <c r="AE12" i="23" s="1"/>
  <c r="AI12" i="23"/>
  <c r="AM12" i="23" s="1"/>
  <c r="AN12" i="23" s="1"/>
  <c r="AV13" i="23"/>
  <c r="AW13" i="23" s="1"/>
  <c r="AR13" i="23"/>
  <c r="AN13" i="23"/>
  <c r="AJ13" i="23"/>
  <c r="AF13" i="23"/>
  <c r="AB13" i="23"/>
  <c r="X13" i="23"/>
  <c r="Y13" i="23" s="1"/>
  <c r="T13" i="23"/>
  <c r="P13" i="23"/>
  <c r="Z13" i="23"/>
  <c r="AE13" i="23"/>
  <c r="AK13" i="23"/>
  <c r="Q14" i="23"/>
  <c r="R14" i="23" s="1"/>
  <c r="S14" i="23" s="1"/>
  <c r="AG14" i="23"/>
  <c r="AH14" i="23" s="1"/>
  <c r="AL14" i="23"/>
  <c r="AP14" i="23" s="1"/>
  <c r="AQ14" i="23" s="1"/>
  <c r="AR14" i="23"/>
  <c r="S17" i="23"/>
  <c r="AE17" i="23"/>
  <c r="AV18" i="23"/>
  <c r="AW18" i="23" s="1"/>
  <c r="AR18" i="23"/>
  <c r="AJ18" i="23"/>
  <c r="AK18" i="23" s="1"/>
  <c r="AF18" i="23"/>
  <c r="AG18" i="23" s="1"/>
  <c r="AH18" i="23" s="1"/>
  <c r="AB18" i="23"/>
  <c r="X18" i="23"/>
  <c r="Y18" i="23" s="1"/>
  <c r="T18" i="23"/>
  <c r="AO18" i="23"/>
  <c r="AI18" i="23"/>
  <c r="AD18" i="23"/>
  <c r="N18" i="23"/>
  <c r="O18" i="23" s="1"/>
  <c r="P18" i="23" s="1"/>
  <c r="Q18" i="23"/>
  <c r="W18" i="23"/>
  <c r="AE18" i="23"/>
  <c r="AL18" i="23"/>
  <c r="AS18" i="23"/>
  <c r="AT18" i="23" s="1"/>
  <c r="AT20" i="23"/>
  <c r="Z21" i="23"/>
  <c r="AN21" i="23"/>
  <c r="AU21" i="23"/>
  <c r="M26" i="23"/>
  <c r="AK26" i="23" s="1"/>
  <c r="Z26" i="23"/>
  <c r="AA26" i="23" s="1"/>
  <c r="AH26" i="23"/>
  <c r="AO26" i="23"/>
  <c r="AU26" i="23"/>
  <c r="AS30" i="23"/>
  <c r="AO30" i="23"/>
  <c r="AG30" i="23"/>
  <c r="AC30" i="23"/>
  <c r="Q30" i="23"/>
  <c r="M30" i="23"/>
  <c r="AU30" i="23"/>
  <c r="AP30" i="23"/>
  <c r="AJ30" i="23"/>
  <c r="AI30" i="23"/>
  <c r="X30" i="23"/>
  <c r="N30" i="23"/>
  <c r="W30" i="23"/>
  <c r="AF30" i="23"/>
  <c r="AV37" i="23"/>
  <c r="AR37" i="23"/>
  <c r="AJ37" i="23"/>
  <c r="AF37" i="23"/>
  <c r="X37" i="23"/>
  <c r="T37" i="23"/>
  <c r="AS37" i="23"/>
  <c r="AM37" i="23"/>
  <c r="AC37" i="23"/>
  <c r="W37" i="23"/>
  <c r="M37" i="23"/>
  <c r="AI37" i="23"/>
  <c r="AA37" i="23"/>
  <c r="N37" i="23"/>
  <c r="O37" i="23" s="1"/>
  <c r="AD37" i="23"/>
  <c r="AU37" i="23"/>
  <c r="AG37" i="23"/>
  <c r="Q37" i="23"/>
  <c r="AL37" i="23"/>
  <c r="AP37" i="23" s="1"/>
  <c r="AV38" i="23"/>
  <c r="AU42" i="23"/>
  <c r="AM42" i="23"/>
  <c r="AI42" i="23"/>
  <c r="AA42" i="23"/>
  <c r="W42" i="23"/>
  <c r="AS42" i="23"/>
  <c r="AC42" i="23"/>
  <c r="X42" i="23"/>
  <c r="R42" i="23"/>
  <c r="M42" i="23"/>
  <c r="AP42" i="23"/>
  <c r="N42" i="23"/>
  <c r="O42" i="23" s="1"/>
  <c r="AR42" i="23"/>
  <c r="AD42" i="23"/>
  <c r="AV42" i="23"/>
  <c r="AG42" i="23"/>
  <c r="T42" i="23"/>
  <c r="AF42" i="23"/>
  <c r="Q42" i="23"/>
  <c r="AL42" i="23"/>
  <c r="N15" i="23"/>
  <c r="O15" i="23" s="1"/>
  <c r="P15" i="23" s="1"/>
  <c r="V15" i="23"/>
  <c r="Z15" i="23"/>
  <c r="AD15" i="23" s="1"/>
  <c r="AE15" i="23" s="1"/>
  <c r="AH15" i="23"/>
  <c r="AL15" i="23"/>
  <c r="AP15" i="23"/>
  <c r="AQ15" i="23" s="1"/>
  <c r="AU19" i="23"/>
  <c r="AM19" i="23"/>
  <c r="AN19" i="23" s="1"/>
  <c r="AI19" i="23"/>
  <c r="AE19" i="23"/>
  <c r="AA19" i="23"/>
  <c r="AB19" i="23" s="1"/>
  <c r="W19" i="23"/>
  <c r="S19" i="23"/>
  <c r="P19" i="23"/>
  <c r="Z19" i="23"/>
  <c r="AF19" i="23"/>
  <c r="AP19" i="23"/>
  <c r="AQ19" i="23" s="1"/>
  <c r="AV19" i="23"/>
  <c r="AW19" i="23" s="1"/>
  <c r="AT24" i="23"/>
  <c r="AS25" i="23"/>
  <c r="AO25" i="23"/>
  <c r="AK25" i="23"/>
  <c r="AG25" i="23"/>
  <c r="AC25" i="23"/>
  <c r="U25" i="23"/>
  <c r="Q25" i="23"/>
  <c r="R25" i="23" s="1"/>
  <c r="M25" i="23"/>
  <c r="Y25" i="23" s="1"/>
  <c r="T25" i="23"/>
  <c r="Z25" i="23"/>
  <c r="AA25" i="23" s="1"/>
  <c r="AE25" i="23"/>
  <c r="AJ25" i="23"/>
  <c r="AP25" i="23"/>
  <c r="AU25" i="23"/>
  <c r="S28" i="23"/>
  <c r="AU31" i="23"/>
  <c r="AQ31" i="23"/>
  <c r="AV31" i="23"/>
  <c r="AW31" i="23" s="1"/>
  <c r="AR31" i="23"/>
  <c r="AJ31" i="23"/>
  <c r="AF31" i="23"/>
  <c r="AB31" i="23"/>
  <c r="X31" i="23"/>
  <c r="Y31" i="23" s="1"/>
  <c r="T31" i="23"/>
  <c r="U31" i="23" s="1"/>
  <c r="V31" i="23" s="1"/>
  <c r="P31" i="23"/>
  <c r="Z31" i="23"/>
  <c r="AE31" i="23"/>
  <c r="AK31" i="23"/>
  <c r="AP31" i="23"/>
  <c r="AU32" i="23"/>
  <c r="AM32" i="23"/>
  <c r="AI32" i="23"/>
  <c r="AA32" i="23"/>
  <c r="W32" i="23"/>
  <c r="AV32" i="23"/>
  <c r="AR32" i="23"/>
  <c r="AJ32" i="23"/>
  <c r="AK32" i="23" s="1"/>
  <c r="AF32" i="23"/>
  <c r="X32" i="23"/>
  <c r="T32" i="23"/>
  <c r="P32" i="23"/>
  <c r="Z32" i="23"/>
  <c r="AQ50" i="23"/>
  <c r="N20" i="23"/>
  <c r="O20" i="23" s="1"/>
  <c r="P20" i="23" s="1"/>
  <c r="R20" i="23"/>
  <c r="S20" i="23" s="1"/>
  <c r="V20" i="23"/>
  <c r="Z20" i="23"/>
  <c r="AD20" i="23"/>
  <c r="AE20" i="23" s="1"/>
  <c r="AH20" i="23"/>
  <c r="AL20" i="23"/>
  <c r="AM20" i="23" s="1"/>
  <c r="AN20" i="23" s="1"/>
  <c r="AP20" i="23"/>
  <c r="AQ20" i="23" s="1"/>
  <c r="N24" i="23"/>
  <c r="O24" i="23" s="1"/>
  <c r="P24" i="23" s="1"/>
  <c r="V24" i="23"/>
  <c r="Z24" i="23"/>
  <c r="AD24" i="23"/>
  <c r="AE24" i="23" s="1"/>
  <c r="AH24" i="23"/>
  <c r="AL24" i="23"/>
  <c r="AP24" i="23"/>
  <c r="AQ24" i="23" s="1"/>
  <c r="N28" i="23"/>
  <c r="O28" i="23" s="1"/>
  <c r="P28" i="23" s="1"/>
  <c r="R28" i="23"/>
  <c r="V28" i="23"/>
  <c r="Z28" i="23"/>
  <c r="AA28" i="23" s="1"/>
  <c r="AB28" i="23" s="1"/>
  <c r="AD28" i="23"/>
  <c r="AE28" i="23" s="1"/>
  <c r="AH28" i="23"/>
  <c r="AL28" i="23"/>
  <c r="AP28" i="23"/>
  <c r="W33" i="23"/>
  <c r="AA33" i="23"/>
  <c r="AB33" i="23" s="1"/>
  <c r="AI33" i="23"/>
  <c r="AM33" i="23"/>
  <c r="AQ33" i="23"/>
  <c r="AU33" i="23"/>
  <c r="AU34" i="23"/>
  <c r="AM34" i="23"/>
  <c r="AI34" i="23"/>
  <c r="AJ34" i="23" s="1"/>
  <c r="AK34" i="23" s="1"/>
  <c r="AA34" i="23"/>
  <c r="W34" i="23"/>
  <c r="AV34" i="23"/>
  <c r="N34" i="23"/>
  <c r="T34" i="23"/>
  <c r="AD34" i="23"/>
  <c r="AO34" i="23"/>
  <c r="M45" i="23"/>
  <c r="AT50" i="23"/>
  <c r="Q52" i="23"/>
  <c r="N33" i="23"/>
  <c r="Z33" i="23"/>
  <c r="AD33" i="23"/>
  <c r="AL33" i="23"/>
  <c r="AP33" i="23"/>
  <c r="AU45" i="23"/>
  <c r="AM45" i="23"/>
  <c r="AI45" i="23"/>
  <c r="AA45" i="23"/>
  <c r="W45" i="23"/>
  <c r="AV45" i="23"/>
  <c r="AR45" i="23"/>
  <c r="AJ45" i="23"/>
  <c r="AF45" i="23"/>
  <c r="X45" i="23"/>
  <c r="T45" i="23"/>
  <c r="AO45" i="23"/>
  <c r="AG45" i="23"/>
  <c r="Q45" i="23"/>
  <c r="R45" i="23" s="1"/>
  <c r="AD45" i="23"/>
  <c r="AS51" i="23"/>
  <c r="AO51" i="23"/>
  <c r="AG51" i="23"/>
  <c r="AC51" i="23"/>
  <c r="U51" i="23"/>
  <c r="Q51" i="23"/>
  <c r="M51" i="23"/>
  <c r="AH51" i="23" s="1"/>
  <c r="AV51" i="23"/>
  <c r="AL51" i="23"/>
  <c r="AF51" i="23"/>
  <c r="AR51" i="23"/>
  <c r="AM51" i="23"/>
  <c r="W51" i="23"/>
  <c r="AU51" i="23"/>
  <c r="AJ51" i="23"/>
  <c r="Z51" i="23"/>
  <c r="AI51" i="23"/>
  <c r="X51" i="23"/>
  <c r="N51" i="23"/>
  <c r="O51" i="23" s="1"/>
  <c r="AV52" i="23"/>
  <c r="AR52" i="23"/>
  <c r="AJ52" i="23"/>
  <c r="AF52" i="23"/>
  <c r="X52" i="23"/>
  <c r="T52" i="23"/>
  <c r="U52" i="23" s="1"/>
  <c r="AS52" i="23"/>
  <c r="AM52" i="23"/>
  <c r="AC52" i="23"/>
  <c r="W52" i="23"/>
  <c r="R52" i="23"/>
  <c r="M52" i="23"/>
  <c r="AO52" i="23"/>
  <c r="AI52" i="23"/>
  <c r="N52" i="23"/>
  <c r="O52" i="23" s="1"/>
  <c r="P52" i="23" s="1"/>
  <c r="AU52" i="23"/>
  <c r="Z52" i="23"/>
  <c r="AQ52" i="23"/>
  <c r="AG52" i="23"/>
  <c r="AS40" i="23"/>
  <c r="AO40" i="23"/>
  <c r="AG40" i="23"/>
  <c r="AC40" i="23"/>
  <c r="Q40" i="23"/>
  <c r="M40" i="23"/>
  <c r="T40" i="23"/>
  <c r="Z40" i="23"/>
  <c r="AJ40" i="23"/>
  <c r="AP40" i="23"/>
  <c r="AU40" i="23"/>
  <c r="AV44" i="23"/>
  <c r="AR44" i="23"/>
  <c r="AJ44" i="23"/>
  <c r="AF44" i="23"/>
  <c r="X44" i="23"/>
  <c r="T44" i="23"/>
  <c r="AS44" i="23"/>
  <c r="AO44" i="23"/>
  <c r="AG44" i="23"/>
  <c r="AC44" i="23"/>
  <c r="Q44" i="23"/>
  <c r="M44" i="23"/>
  <c r="Z44" i="23"/>
  <c r="AS47" i="23"/>
  <c r="AO47" i="23"/>
  <c r="AG47" i="23"/>
  <c r="AC47" i="23"/>
  <c r="Q47" i="23"/>
  <c r="M47" i="23"/>
  <c r="AR47" i="23"/>
  <c r="W47" i="23"/>
  <c r="AI47" i="23"/>
  <c r="AD47" i="23"/>
  <c r="X47" i="23"/>
  <c r="N47" i="23"/>
  <c r="O47" i="23" s="1"/>
  <c r="T47" i="23"/>
  <c r="AP47" i="23"/>
  <c r="N35" i="23"/>
  <c r="O35" i="23" s="1"/>
  <c r="Z35" i="23"/>
  <c r="AD35" i="23"/>
  <c r="AL35" i="23"/>
  <c r="AP35" i="23"/>
  <c r="N39" i="23"/>
  <c r="R39" i="23" s="1"/>
  <c r="S39" i="23" s="1"/>
  <c r="Z39" i="23"/>
  <c r="AL39" i="23"/>
  <c r="AP39" i="23"/>
  <c r="N43" i="23"/>
  <c r="O43" i="23" s="1"/>
  <c r="P43" i="23" s="1"/>
  <c r="Z43" i="23"/>
  <c r="AD43" i="23"/>
  <c r="AL43" i="23"/>
  <c r="AP43" i="23" s="1"/>
  <c r="AC46" i="23"/>
  <c r="AI46" i="23"/>
  <c r="AV48" i="23"/>
  <c r="AW48" i="23" s="1"/>
  <c r="AR48" i="23"/>
  <c r="AS48" i="23" s="1"/>
  <c r="AT48" i="23" s="1"/>
  <c r="AJ48" i="23"/>
  <c r="AK48" i="23" s="1"/>
  <c r="AF48" i="23"/>
  <c r="T48" i="23"/>
  <c r="U48" i="23"/>
  <c r="Z48" i="23"/>
  <c r="AP48" i="23"/>
  <c r="AU48" i="23"/>
  <c r="Q49" i="23"/>
  <c r="AG49" i="23"/>
  <c r="AL49" i="23"/>
  <c r="AR49" i="23"/>
  <c r="AT53" i="23"/>
  <c r="AP46" i="23"/>
  <c r="AL46" i="23"/>
  <c r="AD46" i="23"/>
  <c r="Z46" i="23"/>
  <c r="N46" i="23"/>
  <c r="O46" i="23" s="1"/>
  <c r="W46" i="23"/>
  <c r="AG46" i="23"/>
  <c r="AM46" i="23"/>
  <c r="AR46" i="23"/>
  <c r="AU49" i="23"/>
  <c r="AM49" i="23"/>
  <c r="AI49" i="23"/>
  <c r="AA49" i="23"/>
  <c r="AB49" i="23" s="1"/>
  <c r="W49" i="23"/>
  <c r="U49" i="23"/>
  <c r="Z49" i="23"/>
  <c r="AF49" i="23"/>
  <c r="AP49" i="23"/>
  <c r="AV49" i="23"/>
  <c r="N50" i="23"/>
  <c r="O50" i="23" s="1"/>
  <c r="P50" i="23" s="1"/>
  <c r="Z50" i="23"/>
  <c r="AD50" i="23"/>
  <c r="AE50" i="23" s="1"/>
  <c r="AL50" i="23"/>
  <c r="AP50" i="23"/>
  <c r="W53" i="23"/>
  <c r="AA53" i="23"/>
  <c r="AB53" i="23" s="1"/>
  <c r="AI53" i="23"/>
  <c r="AM53" i="23"/>
  <c r="AN53" i="23" s="1"/>
  <c r="AQ53" i="23"/>
  <c r="AU53" i="23"/>
  <c r="N54" i="23"/>
  <c r="O54" i="23" s="1"/>
  <c r="R54" i="23"/>
  <c r="S54" i="23" s="1"/>
  <c r="Z54" i="23"/>
  <c r="AD54" i="23"/>
  <c r="AE54" i="23" s="1"/>
  <c r="AL54" i="23"/>
  <c r="AP54" i="23"/>
  <c r="N53" i="23"/>
  <c r="O53" i="23" s="1"/>
  <c r="P53" i="23" s="1"/>
  <c r="R53" i="23"/>
  <c r="S53" i="23" s="1"/>
  <c r="V53" i="23"/>
  <c r="Z53" i="23"/>
  <c r="AD53" i="23"/>
  <c r="AE53" i="23" s="1"/>
  <c r="AL53" i="23"/>
  <c r="AP53" i="23"/>
  <c r="AK54" i="23"/>
  <c r="H54" i="18"/>
  <c r="M54" i="18" s="1"/>
  <c r="F54" i="18"/>
  <c r="H53" i="18"/>
  <c r="F53" i="18"/>
  <c r="AU52" i="18"/>
  <c r="AA52" i="18"/>
  <c r="W52" i="18"/>
  <c r="H52" i="18"/>
  <c r="AM52" i="18" s="1"/>
  <c r="F52" i="18"/>
  <c r="AV51" i="18"/>
  <c r="AU51" i="18"/>
  <c r="AJ51" i="18"/>
  <c r="AI51" i="18"/>
  <c r="W51" i="18"/>
  <c r="T51" i="18"/>
  <c r="H51" i="18"/>
  <c r="AR51" i="18" s="1"/>
  <c r="F51" i="18"/>
  <c r="AS50" i="18"/>
  <c r="AG50" i="18"/>
  <c r="T50" i="18"/>
  <c r="H50" i="18"/>
  <c r="AU50" i="18" s="1"/>
  <c r="F50" i="18"/>
  <c r="H49" i="18"/>
  <c r="F49" i="18"/>
  <c r="AV48" i="18"/>
  <c r="AU48" i="18"/>
  <c r="AR48" i="18"/>
  <c r="AJ48" i="18"/>
  <c r="AI48" i="18"/>
  <c r="AF48" i="18"/>
  <c r="W48" i="18"/>
  <c r="X48" i="18" s="1"/>
  <c r="T48" i="18"/>
  <c r="H48" i="18"/>
  <c r="AM48" i="18" s="1"/>
  <c r="F48" i="18"/>
  <c r="AV47" i="18"/>
  <c r="AU47" i="18"/>
  <c r="AR47" i="18"/>
  <c r="AO47" i="18"/>
  <c r="AJ47" i="18"/>
  <c r="AG47" i="18"/>
  <c r="AF47" i="18"/>
  <c r="AC47" i="18"/>
  <c r="AA47" i="18"/>
  <c r="Y47" i="18"/>
  <c r="X47" i="18"/>
  <c r="T47" i="18"/>
  <c r="Q47" i="18"/>
  <c r="M47" i="18"/>
  <c r="H47" i="18"/>
  <c r="F47" i="18"/>
  <c r="H46" i="18"/>
  <c r="AJ46" i="18" s="1"/>
  <c r="F46" i="18"/>
  <c r="AS45" i="18"/>
  <c r="AO45" i="18"/>
  <c r="AG45" i="18"/>
  <c r="AC45" i="18"/>
  <c r="Q45" i="18"/>
  <c r="M45" i="18"/>
  <c r="H45" i="18"/>
  <c r="AM45" i="18" s="1"/>
  <c r="F45" i="18"/>
  <c r="AD44" i="18"/>
  <c r="N44" i="18"/>
  <c r="O44" i="18" s="1"/>
  <c r="H44" i="18"/>
  <c r="AL44" i="18" s="1"/>
  <c r="F44" i="18"/>
  <c r="AU43" i="18"/>
  <c r="AS43" i="18"/>
  <c r="AO43" i="18"/>
  <c r="AI43" i="18"/>
  <c r="AG43" i="18"/>
  <c r="AC43" i="18"/>
  <c r="W43" i="18"/>
  <c r="Q43" i="18"/>
  <c r="M43" i="18"/>
  <c r="AW43" i="18" s="1"/>
  <c r="H43" i="18"/>
  <c r="AV43" i="18" s="1"/>
  <c r="F43" i="18"/>
  <c r="AV42" i="18"/>
  <c r="X42" i="18"/>
  <c r="T42" i="18"/>
  <c r="H42" i="18"/>
  <c r="AR42" i="18" s="1"/>
  <c r="F42" i="18"/>
  <c r="AU41" i="18"/>
  <c r="AS41" i="18"/>
  <c r="AO41" i="18"/>
  <c r="AI41" i="18"/>
  <c r="AG41" i="18"/>
  <c r="AC41" i="18"/>
  <c r="W41" i="18"/>
  <c r="Q41" i="18"/>
  <c r="M41" i="18"/>
  <c r="H41" i="18"/>
  <c r="F41" i="18"/>
  <c r="H40" i="18"/>
  <c r="F40" i="18"/>
  <c r="AO39" i="18"/>
  <c r="AC39" i="18"/>
  <c r="M39" i="18"/>
  <c r="H39" i="18"/>
  <c r="AV39" i="18" s="1"/>
  <c r="F39" i="18"/>
  <c r="AO38" i="18"/>
  <c r="M38" i="18"/>
  <c r="H38" i="18"/>
  <c r="AS38" i="18" s="1"/>
  <c r="F38" i="18"/>
  <c r="H37" i="18"/>
  <c r="F37" i="18"/>
  <c r="W36" i="18"/>
  <c r="H36" i="18"/>
  <c r="AV36" i="18" s="1"/>
  <c r="F36" i="18"/>
  <c r="AR35" i="18"/>
  <c r="T35" i="18"/>
  <c r="H35" i="18"/>
  <c r="AV35" i="18" s="1"/>
  <c r="F35" i="18"/>
  <c r="AO34" i="18"/>
  <c r="M34" i="18"/>
  <c r="H34" i="18"/>
  <c r="AC34" i="18" s="1"/>
  <c r="F34" i="18"/>
  <c r="AL33" i="18"/>
  <c r="AD33" i="18"/>
  <c r="N33" i="18"/>
  <c r="H33" i="18"/>
  <c r="F33" i="18"/>
  <c r="AD32" i="18"/>
  <c r="X32" i="18"/>
  <c r="H32" i="18"/>
  <c r="T32" i="18" s="1"/>
  <c r="AV31" i="18"/>
  <c r="AR31" i="18"/>
  <c r="AF31" i="18"/>
  <c r="X31" i="18"/>
  <c r="T31" i="18"/>
  <c r="H31" i="18"/>
  <c r="AJ31" i="18" s="1"/>
  <c r="F31" i="18"/>
  <c r="AS30" i="18"/>
  <c r="AO30" i="18"/>
  <c r="AI30" i="18"/>
  <c r="AG30" i="18"/>
  <c r="AC30" i="18"/>
  <c r="W30" i="18"/>
  <c r="Q30" i="18"/>
  <c r="M30" i="18"/>
  <c r="H30" i="18"/>
  <c r="AM30" i="18" s="1"/>
  <c r="F30" i="18"/>
  <c r="R28" i="18"/>
  <c r="H28" i="18"/>
  <c r="AL28" i="18" s="1"/>
  <c r="F28" i="18"/>
  <c r="AU27" i="18"/>
  <c r="AM27" i="18"/>
  <c r="AI27" i="18"/>
  <c r="W27" i="18"/>
  <c r="Q27" i="18"/>
  <c r="M27" i="18"/>
  <c r="H27" i="18"/>
  <c r="AV27" i="18" s="1"/>
  <c r="F27" i="18"/>
  <c r="AV26" i="18"/>
  <c r="AR26" i="18"/>
  <c r="AF26" i="18"/>
  <c r="X26" i="18"/>
  <c r="T26" i="18"/>
  <c r="H26" i="18"/>
  <c r="AJ26" i="18" s="1"/>
  <c r="F26" i="18"/>
  <c r="AS25" i="18"/>
  <c r="AC25" i="18"/>
  <c r="M25" i="18"/>
  <c r="H25" i="18"/>
  <c r="AI25" i="18" s="1"/>
  <c r="F25" i="18"/>
  <c r="AL24" i="18"/>
  <c r="AD24" i="18"/>
  <c r="N24" i="18"/>
  <c r="O24" i="18" s="1"/>
  <c r="H24" i="18"/>
  <c r="F24" i="18"/>
  <c r="H23" i="18"/>
  <c r="AV23" i="18" s="1"/>
  <c r="F23" i="18"/>
  <c r="H22" i="18"/>
  <c r="AF22" i="18" s="1"/>
  <c r="F22" i="18"/>
  <c r="H21" i="18"/>
  <c r="AC21" i="18" s="1"/>
  <c r="F21" i="18"/>
  <c r="AD20" i="18"/>
  <c r="R20" i="18"/>
  <c r="N20" i="18"/>
  <c r="O20" i="18" s="1"/>
  <c r="H20" i="18"/>
  <c r="AL20" i="18" s="1"/>
  <c r="F20" i="18"/>
  <c r="H19" i="18"/>
  <c r="AV19" i="18" s="1"/>
  <c r="F19" i="18"/>
  <c r="H18" i="18"/>
  <c r="T18" i="18" s="1"/>
  <c r="F18" i="18"/>
  <c r="H17" i="18"/>
  <c r="AS17" i="18" s="1"/>
  <c r="F17" i="18"/>
  <c r="H16" i="18"/>
  <c r="F16" i="18"/>
  <c r="AU15" i="18"/>
  <c r="AM15" i="18"/>
  <c r="AF15" i="18"/>
  <c r="W15" i="18"/>
  <c r="M15" i="18"/>
  <c r="AN15" i="18" s="1"/>
  <c r="H15" i="18"/>
  <c r="AO15" i="18" s="1"/>
  <c r="F15" i="18"/>
  <c r="H14" i="18"/>
  <c r="F14" i="18"/>
  <c r="H13" i="18"/>
  <c r="AM13" i="18" s="1"/>
  <c r="F13" i="18"/>
  <c r="H12" i="18"/>
  <c r="AU12" i="18" s="1"/>
  <c r="F12" i="18"/>
  <c r="AU11" i="18"/>
  <c r="AS11" i="18"/>
  <c r="AR11" i="18"/>
  <c r="AJ11" i="18"/>
  <c r="AI11" i="18"/>
  <c r="AG11" i="18"/>
  <c r="AC11" i="18"/>
  <c r="AA11" i="18"/>
  <c r="X11" i="18"/>
  <c r="T11" i="18"/>
  <c r="Q11" i="18"/>
  <c r="U11" i="18" s="1"/>
  <c r="M11" i="18"/>
  <c r="H11" i="18"/>
  <c r="F11" i="18"/>
  <c r="H10" i="18"/>
  <c r="F10" i="18"/>
  <c r="H9" i="18"/>
  <c r="F9" i="18"/>
  <c r="H8" i="18"/>
  <c r="F8" i="18"/>
  <c r="AR7" i="18"/>
  <c r="AG7" i="18"/>
  <c r="X7" i="18"/>
  <c r="M7" i="18"/>
  <c r="H7" i="18"/>
  <c r="AU7" i="18" s="1"/>
  <c r="F7" i="18"/>
  <c r="H6" i="18"/>
  <c r="F6" i="18"/>
  <c r="AS9" i="18" l="1"/>
  <c r="AM9" i="18"/>
  <c r="W9" i="18"/>
  <c r="AU9" i="18"/>
  <c r="AI9" i="18"/>
  <c r="Q9" i="18"/>
  <c r="AC9" i="18"/>
  <c r="M9" i="18"/>
  <c r="AT9" i="18" s="1"/>
  <c r="O27" i="31"/>
  <c r="P27" i="31"/>
  <c r="M27" i="31"/>
  <c r="AU8" i="18"/>
  <c r="T8" i="18"/>
  <c r="AF8" i="18"/>
  <c r="AV8" i="18"/>
  <c r="X8" i="18"/>
  <c r="AR8" i="18"/>
  <c r="AA9" i="18"/>
  <c r="AJ8" i="18"/>
  <c r="AO9" i="18"/>
  <c r="K12" i="30"/>
  <c r="AF19" i="18"/>
  <c r="AU19" i="18"/>
  <c r="AG21" i="18"/>
  <c r="AJ22" i="18"/>
  <c r="AU23" i="18"/>
  <c r="AO46" i="18"/>
  <c r="AA7" i="18"/>
  <c r="AI7" i="18"/>
  <c r="AS7" i="18"/>
  <c r="AV7" i="18" s="1"/>
  <c r="T12" i="18"/>
  <c r="AR12" i="18"/>
  <c r="M13" i="18"/>
  <c r="AC13" i="18"/>
  <c r="AO13" i="18"/>
  <c r="Q15" i="18"/>
  <c r="X15" i="18"/>
  <c r="AG15" i="18"/>
  <c r="M17" i="18"/>
  <c r="AO17" i="18"/>
  <c r="AR18" i="18"/>
  <c r="M19" i="18"/>
  <c r="X19" i="18"/>
  <c r="M21" i="18"/>
  <c r="T22" i="18"/>
  <c r="AR22" i="18"/>
  <c r="M23" i="18"/>
  <c r="AA23" i="18"/>
  <c r="Q25" i="18"/>
  <c r="AG25" i="18"/>
  <c r="Q34" i="18"/>
  <c r="X35" i="18"/>
  <c r="Q38" i="18"/>
  <c r="Q39" i="18"/>
  <c r="AG39" i="18"/>
  <c r="T46" i="18"/>
  <c r="AJ50" i="18"/>
  <c r="T7" i="18"/>
  <c r="AC7" i="18"/>
  <c r="AM7" i="18"/>
  <c r="AN7" i="18" s="1"/>
  <c r="AT11" i="18"/>
  <c r="W11" i="18"/>
  <c r="AF11" i="18"/>
  <c r="AO11" i="18"/>
  <c r="AV11" i="18"/>
  <c r="X12" i="18"/>
  <c r="AV12" i="18"/>
  <c r="Q13" i="18"/>
  <c r="AG13" i="18"/>
  <c r="AS13" i="18"/>
  <c r="T15" i="18"/>
  <c r="AA15" i="18"/>
  <c r="AI15" i="18"/>
  <c r="AR15" i="18"/>
  <c r="Q17" i="18"/>
  <c r="X18" i="18"/>
  <c r="AV18" i="18"/>
  <c r="Q19" i="18"/>
  <c r="AA19" i="18"/>
  <c r="AI19" i="18"/>
  <c r="AJ19" i="18" s="1"/>
  <c r="Q21" i="18"/>
  <c r="AS21" i="18"/>
  <c r="X22" i="18"/>
  <c r="AV22" i="18"/>
  <c r="Q23" i="18"/>
  <c r="AI23" i="18"/>
  <c r="U25" i="18"/>
  <c r="AA27" i="18"/>
  <c r="AA30" i="18"/>
  <c r="AF35" i="18"/>
  <c r="AI36" i="18"/>
  <c r="AC38" i="18"/>
  <c r="W39" i="18"/>
  <c r="AI39" i="18"/>
  <c r="AU39" i="18"/>
  <c r="AT41" i="18"/>
  <c r="AA41" i="18"/>
  <c r="AM41" i="18"/>
  <c r="AF42" i="18"/>
  <c r="AA43" i="18"/>
  <c r="AM43" i="18"/>
  <c r="W45" i="18"/>
  <c r="AI45" i="18"/>
  <c r="AU45" i="18"/>
  <c r="AD46" i="18"/>
  <c r="W47" i="18"/>
  <c r="AB47" i="18"/>
  <c r="AI47" i="18"/>
  <c r="AS47" i="18"/>
  <c r="AT47" i="18" s="1"/>
  <c r="AA48" i="18"/>
  <c r="M50" i="18"/>
  <c r="AC50" i="18"/>
  <c r="AO50" i="18"/>
  <c r="X51" i="18"/>
  <c r="AM51" i="18"/>
  <c r="AI52" i="18"/>
  <c r="Q54" i="18"/>
  <c r="P54" i="23"/>
  <c r="U21" i="23"/>
  <c r="V21" i="23" s="1"/>
  <c r="Y21" i="23"/>
  <c r="AP21" i="23"/>
  <c r="AQ21" i="23" s="1"/>
  <c r="AQ27" i="23"/>
  <c r="AE23" i="23"/>
  <c r="AW23" i="23"/>
  <c r="AK23" i="23"/>
  <c r="R23" i="23"/>
  <c r="S23" i="23" s="1"/>
  <c r="V22" i="23"/>
  <c r="AK6" i="23"/>
  <c r="AN6" i="23"/>
  <c r="AW10" i="23"/>
  <c r="Y7" i="23"/>
  <c r="AG54" i="23"/>
  <c r="AH54" i="23" s="1"/>
  <c r="AQ42" i="24"/>
  <c r="AQ41" i="24"/>
  <c r="AQ32" i="24"/>
  <c r="AQ28" i="24"/>
  <c r="AQ6" i="24"/>
  <c r="AT6" i="24" s="1"/>
  <c r="R6" i="24"/>
  <c r="S52" i="24"/>
  <c r="AT52" i="24"/>
  <c r="AE19" i="24"/>
  <c r="Y19" i="24"/>
  <c r="AQ19" i="24"/>
  <c r="Y18" i="24"/>
  <c r="AB18" i="24"/>
  <c r="U7" i="24"/>
  <c r="AB17" i="24"/>
  <c r="AQ7" i="24"/>
  <c r="Y25" i="24"/>
  <c r="R13" i="24"/>
  <c r="AK13" i="24"/>
  <c r="AB35" i="24"/>
  <c r="AN50" i="24"/>
  <c r="K13" i="26"/>
  <c r="M13" i="26" s="1"/>
  <c r="K47" i="26"/>
  <c r="M47" i="26" s="1"/>
  <c r="K8" i="26"/>
  <c r="M8" i="26" s="1"/>
  <c r="K23" i="26"/>
  <c r="M23" i="26" s="1"/>
  <c r="K53" i="28"/>
  <c r="M53" i="28" s="1"/>
  <c r="K43" i="29"/>
  <c r="M43" i="29" s="1"/>
  <c r="K45" i="29"/>
  <c r="M45" i="29" s="1"/>
  <c r="K13" i="30"/>
  <c r="N48" i="30"/>
  <c r="M48" i="30"/>
  <c r="K39" i="31"/>
  <c r="O39" i="31" s="1"/>
  <c r="K48" i="31"/>
  <c r="O48" i="31" s="1"/>
  <c r="O44" i="32"/>
  <c r="U13" i="30"/>
  <c r="AK15" i="23"/>
  <c r="AT24" i="24"/>
  <c r="AB15" i="23"/>
  <c r="Y15" i="23"/>
  <c r="U8" i="24"/>
  <c r="V8" i="24" s="1"/>
  <c r="Y28" i="23"/>
  <c r="AW15" i="23"/>
  <c r="AA13" i="18"/>
  <c r="AT17" i="18"/>
  <c r="AG17" i="18"/>
  <c r="AJ18" i="18"/>
  <c r="W19" i="18"/>
  <c r="W23" i="18"/>
  <c r="AT7" i="18"/>
  <c r="W7" i="18"/>
  <c r="AF7" i="18"/>
  <c r="AO7" i="18"/>
  <c r="AF12" i="18"/>
  <c r="W13" i="18"/>
  <c r="AI13" i="18"/>
  <c r="AU13" i="18"/>
  <c r="U15" i="18"/>
  <c r="AC15" i="18"/>
  <c r="AJ15" i="18"/>
  <c r="AS15" i="18"/>
  <c r="AC17" i="18"/>
  <c r="AF18" i="18"/>
  <c r="T19" i="18"/>
  <c r="U19" i="18" s="1"/>
  <c r="AC19" i="18"/>
  <c r="AM19" i="18"/>
  <c r="U23" i="18"/>
  <c r="AM23" i="18"/>
  <c r="AT25" i="18"/>
  <c r="W25" i="18"/>
  <c r="AO25" i="18"/>
  <c r="AG34" i="18"/>
  <c r="AJ35" i="18"/>
  <c r="AU36" i="18"/>
  <c r="AG38" i="18"/>
  <c r="AA39" i="18"/>
  <c r="AM39" i="18"/>
  <c r="AA45" i="18"/>
  <c r="Q50" i="18"/>
  <c r="AF50" i="18"/>
  <c r="AR50" i="18"/>
  <c r="AF51" i="18"/>
  <c r="AK52" i="23"/>
  <c r="AN52" i="23"/>
  <c r="AW25" i="23"/>
  <c r="AJ19" i="23"/>
  <c r="AK19" i="23" s="1"/>
  <c r="P21" i="23"/>
  <c r="R24" i="23"/>
  <c r="S24" i="23" s="1"/>
  <c r="AB21" i="23"/>
  <c r="AT21" i="23"/>
  <c r="P27" i="23"/>
  <c r="AB27" i="23"/>
  <c r="AM22" i="23"/>
  <c r="U7" i="23"/>
  <c r="V7" i="23" s="1"/>
  <c r="P6" i="23"/>
  <c r="Y6" i="23"/>
  <c r="AQ7" i="23"/>
  <c r="Y54" i="23"/>
  <c r="AQ53" i="24"/>
  <c r="AE37" i="24"/>
  <c r="AH37" i="24"/>
  <c r="AW37" i="24"/>
  <c r="V19" i="24"/>
  <c r="AE13" i="24"/>
  <c r="K10" i="24"/>
  <c r="L10" i="24" s="1"/>
  <c r="AW7" i="24"/>
  <c r="Y7" i="24"/>
  <c r="AG18" i="24"/>
  <c r="AH18" i="24" s="1"/>
  <c r="AW6" i="24"/>
  <c r="Y13" i="24"/>
  <c r="AQ13" i="24"/>
  <c r="AG53" i="24"/>
  <c r="AH53" i="24" s="1"/>
  <c r="AH35" i="24"/>
  <c r="AQ50" i="24"/>
  <c r="R32" i="24"/>
  <c r="S32" i="24" s="1"/>
  <c r="AN50" i="23"/>
  <c r="K12" i="26"/>
  <c r="M12" i="26" s="1"/>
  <c r="K36" i="26"/>
  <c r="M36" i="26" s="1"/>
  <c r="K22" i="26"/>
  <c r="M22" i="26" s="1"/>
  <c r="K28" i="27"/>
  <c r="M28" i="27" s="1"/>
  <c r="K37" i="28"/>
  <c r="M37" i="28" s="1"/>
  <c r="K28" i="28"/>
  <c r="M28" i="28" s="1"/>
  <c r="K10" i="28"/>
  <c r="M10" i="28" s="1"/>
  <c r="K18" i="29"/>
  <c r="M18" i="29" s="1"/>
  <c r="K37" i="29"/>
  <c r="M37" i="29" s="1"/>
  <c r="K19" i="29"/>
  <c r="M19" i="29" s="1"/>
  <c r="U26" i="30"/>
  <c r="K26" i="30" s="1"/>
  <c r="N24" i="30"/>
  <c r="M24" i="30"/>
  <c r="K21" i="30"/>
  <c r="K51" i="30"/>
  <c r="N25" i="30"/>
  <c r="M25" i="30"/>
  <c r="K28" i="31"/>
  <c r="O28" i="31" s="1"/>
  <c r="K52" i="31"/>
  <c r="O52" i="31" s="1"/>
  <c r="AS21" i="30"/>
  <c r="AK8" i="24"/>
  <c r="P8" i="24"/>
  <c r="AK28" i="23"/>
  <c r="AJ12" i="18"/>
  <c r="AT21" i="18"/>
  <c r="AN27" i="23"/>
  <c r="AT54" i="23"/>
  <c r="K28" i="24"/>
  <c r="L28" i="24" s="1"/>
  <c r="AN19" i="24"/>
  <c r="AK7" i="24"/>
  <c r="AT37" i="24"/>
  <c r="K37" i="26"/>
  <c r="M37" i="26" s="1"/>
  <c r="N31" i="30"/>
  <c r="M31" i="30"/>
  <c r="K46" i="30"/>
  <c r="U22" i="30"/>
  <c r="K22" i="30" s="1"/>
  <c r="AT15" i="23"/>
  <c r="AT13" i="18"/>
  <c r="Q7" i="18"/>
  <c r="U7" i="18" s="1"/>
  <c r="AG19" i="18"/>
  <c r="AO21" i="18"/>
  <c r="AS34" i="18"/>
  <c r="AT34" i="18" s="1"/>
  <c r="AA36" i="18"/>
  <c r="AS39" i="18"/>
  <c r="U47" i="18"/>
  <c r="U50" i="18"/>
  <c r="AV50" i="18"/>
  <c r="AH21" i="23"/>
  <c r="AE21" i="23"/>
  <c r="AK21" i="23"/>
  <c r="AE27" i="23"/>
  <c r="AT27" i="23"/>
  <c r="X23" i="23"/>
  <c r="V16" i="23"/>
  <c r="AQ54" i="23"/>
  <c r="S37" i="24"/>
  <c r="AQ37" i="24"/>
  <c r="P7" i="24"/>
  <c r="AQ52" i="24"/>
  <c r="V7" i="24"/>
  <c r="P13" i="24"/>
  <c r="AQ48" i="24"/>
  <c r="K32" i="26"/>
  <c r="M32" i="26" s="1"/>
  <c r="K17" i="28"/>
  <c r="M17" i="28" s="1"/>
  <c r="K7" i="30"/>
  <c r="K11" i="30"/>
  <c r="N30" i="30"/>
  <c r="M30" i="30"/>
  <c r="N54" i="30"/>
  <c r="M54" i="30"/>
  <c r="K20" i="30"/>
  <c r="X20" i="30"/>
  <c r="X11" i="30"/>
  <c r="AK24" i="24"/>
  <c r="AB24" i="24"/>
  <c r="AW8" i="24"/>
  <c r="Q43" i="33"/>
  <c r="Q31" i="33"/>
  <c r="M44" i="33"/>
  <c r="Q44" i="33"/>
  <c r="M34" i="33"/>
  <c r="M31" i="33"/>
  <c r="Q41" i="33"/>
  <c r="Q39" i="33"/>
  <c r="O40" i="33"/>
  <c r="O39" i="33"/>
  <c r="M46" i="33"/>
  <c r="Q40" i="33"/>
  <c r="Q47" i="33"/>
  <c r="O41" i="33"/>
  <c r="Q30" i="33"/>
  <c r="O30" i="33"/>
  <c r="M30" i="33"/>
  <c r="M32" i="32"/>
  <c r="M25" i="32"/>
  <c r="O33" i="32"/>
  <c r="Q33" i="32"/>
  <c r="M54" i="33"/>
  <c r="Q54" i="33"/>
  <c r="O54" i="33"/>
  <c r="M23" i="33"/>
  <c r="O23" i="33"/>
  <c r="O42" i="33"/>
  <c r="M42" i="33"/>
  <c r="Q42" i="33"/>
  <c r="M53" i="33"/>
  <c r="Q53" i="33"/>
  <c r="O53" i="33"/>
  <c r="M17" i="33"/>
  <c r="O17" i="33"/>
  <c r="O32" i="33"/>
  <c r="Q32" i="33"/>
  <c r="M32" i="33"/>
  <c r="O14" i="33"/>
  <c r="M14" i="33"/>
  <c r="O10" i="33"/>
  <c r="M10" i="33"/>
  <c r="M13" i="33"/>
  <c r="O13" i="33"/>
  <c r="M38" i="33"/>
  <c r="Q38" i="33"/>
  <c r="O38" i="33"/>
  <c r="O16" i="33"/>
  <c r="M16" i="33"/>
  <c r="O6" i="33"/>
  <c r="M6" i="33"/>
  <c r="O22" i="33"/>
  <c r="M22" i="33"/>
  <c r="O12" i="33"/>
  <c r="M12" i="33"/>
  <c r="O36" i="33"/>
  <c r="Q36" i="33"/>
  <c r="M36" i="33"/>
  <c r="M50" i="33"/>
  <c r="O50" i="33"/>
  <c r="Q50" i="33"/>
  <c r="Q49" i="33"/>
  <c r="O49" i="33"/>
  <c r="M49" i="33"/>
  <c r="Q45" i="33"/>
  <c r="O45" i="33"/>
  <c r="M45" i="33"/>
  <c r="M15" i="33"/>
  <c r="O15" i="33"/>
  <c r="O20" i="33"/>
  <c r="M20" i="33"/>
  <c r="O18" i="33"/>
  <c r="M18" i="33"/>
  <c r="O26" i="33"/>
  <c r="M26" i="33"/>
  <c r="O27" i="33"/>
  <c r="M27" i="33"/>
  <c r="M7" i="33"/>
  <c r="O7" i="33"/>
  <c r="M23" i="32"/>
  <c r="K6" i="32"/>
  <c r="M6" i="32" s="1"/>
  <c r="M38" i="32"/>
  <c r="O38" i="32"/>
  <c r="O45" i="32"/>
  <c r="M45" i="32"/>
  <c r="M20" i="32"/>
  <c r="O20" i="32"/>
  <c r="M35" i="32"/>
  <c r="O35" i="32"/>
  <c r="M39" i="32"/>
  <c r="O39" i="32"/>
  <c r="O46" i="32"/>
  <c r="M46" i="32"/>
  <c r="M37" i="32"/>
  <c r="O37" i="32"/>
  <c r="M52" i="32"/>
  <c r="O52" i="32"/>
  <c r="O34" i="32"/>
  <c r="M34" i="32"/>
  <c r="O13" i="32"/>
  <c r="M13" i="32"/>
  <c r="M31" i="32"/>
  <c r="O31" i="32"/>
  <c r="M27" i="32"/>
  <c r="O27" i="32"/>
  <c r="O22" i="32"/>
  <c r="M22" i="32"/>
  <c r="O53" i="32"/>
  <c r="M53" i="32"/>
  <c r="M28" i="32"/>
  <c r="O28" i="32"/>
  <c r="M30" i="32"/>
  <c r="O30" i="32"/>
  <c r="O54" i="32"/>
  <c r="M54" i="32"/>
  <c r="O51" i="32"/>
  <c r="M51" i="32"/>
  <c r="M19" i="32"/>
  <c r="O19" i="32"/>
  <c r="O24" i="32"/>
  <c r="M24" i="32"/>
  <c r="O17" i="32"/>
  <c r="M17" i="32"/>
  <c r="M41" i="32"/>
  <c r="O41" i="32"/>
  <c r="O6" i="32"/>
  <c r="O43" i="32"/>
  <c r="M43" i="32"/>
  <c r="K41" i="31"/>
  <c r="O41" i="31" s="1"/>
  <c r="K35" i="31"/>
  <c r="O35" i="31" s="1"/>
  <c r="M39" i="31"/>
  <c r="P39" i="31"/>
  <c r="M31" i="31"/>
  <c r="P31" i="31"/>
  <c r="M43" i="31"/>
  <c r="P43" i="31"/>
  <c r="P48" i="31"/>
  <c r="M48" i="31"/>
  <c r="M50" i="31"/>
  <c r="P50" i="31"/>
  <c r="M28" i="31"/>
  <c r="P28" i="31"/>
  <c r="P52" i="31"/>
  <c r="M52" i="31"/>
  <c r="M41" i="31"/>
  <c r="M13" i="31"/>
  <c r="P13" i="31"/>
  <c r="M45" i="31"/>
  <c r="P45" i="31"/>
  <c r="P53" i="31"/>
  <c r="M53" i="31"/>
  <c r="M54" i="31"/>
  <c r="P54" i="31"/>
  <c r="K8" i="31"/>
  <c r="O8" i="31" s="1"/>
  <c r="M21" i="31"/>
  <c r="P21" i="31"/>
  <c r="K30" i="31"/>
  <c r="O30" i="31" s="1"/>
  <c r="K49" i="31"/>
  <c r="O49" i="31" s="1"/>
  <c r="K10" i="31"/>
  <c r="O10" i="31" s="1"/>
  <c r="M11" i="31"/>
  <c r="P11" i="31"/>
  <c r="K22" i="31"/>
  <c r="O22" i="31" s="1"/>
  <c r="K24" i="31"/>
  <c r="O24" i="31" s="1"/>
  <c r="K32" i="31"/>
  <c r="O32" i="31" s="1"/>
  <c r="K44" i="31"/>
  <c r="O44" i="31" s="1"/>
  <c r="K25" i="31"/>
  <c r="O25" i="31" s="1"/>
  <c r="M37" i="31"/>
  <c r="P37" i="31"/>
  <c r="K47" i="31"/>
  <c r="O47" i="31" s="1"/>
  <c r="K9" i="31"/>
  <c r="O9" i="31" s="1"/>
  <c r="K16" i="31"/>
  <c r="O16" i="31" s="1"/>
  <c r="K34" i="31"/>
  <c r="O34" i="31" s="1"/>
  <c r="K40" i="31"/>
  <c r="O40" i="31" s="1"/>
  <c r="K12" i="31"/>
  <c r="O12" i="31" s="1"/>
  <c r="M26" i="31"/>
  <c r="P26" i="31"/>
  <c r="M17" i="31"/>
  <c r="P17" i="31"/>
  <c r="M15" i="31"/>
  <c r="P15" i="31"/>
  <c r="K18" i="31"/>
  <c r="O18" i="31" s="1"/>
  <c r="K36" i="31"/>
  <c r="O36" i="31" s="1"/>
  <c r="K38" i="31"/>
  <c r="O38" i="31" s="1"/>
  <c r="K7" i="31"/>
  <c r="O7" i="31" s="1"/>
  <c r="K14" i="31"/>
  <c r="O14" i="31" s="1"/>
  <c r="K33" i="31"/>
  <c r="O33" i="31" s="1"/>
  <c r="K46" i="31"/>
  <c r="O46" i="31" s="1"/>
  <c r="K51" i="31"/>
  <c r="O51" i="31" s="1"/>
  <c r="M19" i="31"/>
  <c r="P19" i="31"/>
  <c r="P23" i="31"/>
  <c r="M23" i="31"/>
  <c r="K20" i="31"/>
  <c r="O20" i="31" s="1"/>
  <c r="K42" i="31"/>
  <c r="O42" i="31" s="1"/>
  <c r="K6" i="31"/>
  <c r="O6" i="31" s="1"/>
  <c r="K8" i="30"/>
  <c r="K18" i="30"/>
  <c r="K43" i="30"/>
  <c r="K52" i="30"/>
  <c r="K41" i="30"/>
  <c r="K10" i="30"/>
  <c r="K9" i="30"/>
  <c r="AP42" i="30"/>
  <c r="K42" i="30" s="1"/>
  <c r="U32" i="30"/>
  <c r="K32" i="30" s="1"/>
  <c r="U35" i="30"/>
  <c r="K35" i="30" s="1"/>
  <c r="X44" i="30"/>
  <c r="K44" i="30" s="1"/>
  <c r="K49" i="30"/>
  <c r="K37" i="30"/>
  <c r="K47" i="30"/>
  <c r="K50" i="30"/>
  <c r="K39" i="30"/>
  <c r="K36" i="30"/>
  <c r="K23" i="30"/>
  <c r="K16" i="30"/>
  <c r="K19" i="30"/>
  <c r="K45" i="30"/>
  <c r="K33" i="30"/>
  <c r="K34" i="30"/>
  <c r="K53" i="30"/>
  <c r="K15" i="30"/>
  <c r="K17" i="30"/>
  <c r="K27" i="30"/>
  <c r="K40" i="30"/>
  <c r="K28" i="30"/>
  <c r="K38" i="30"/>
  <c r="T6" i="30"/>
  <c r="U6" i="30" s="1"/>
  <c r="K6" i="30" s="1"/>
  <c r="K14" i="30"/>
  <c r="K52" i="29"/>
  <c r="M52" i="29" s="1"/>
  <c r="K35" i="29"/>
  <c r="M35" i="29" s="1"/>
  <c r="K30" i="29"/>
  <c r="M30" i="29" s="1"/>
  <c r="K22" i="29"/>
  <c r="M22" i="29" s="1"/>
  <c r="K41" i="29"/>
  <c r="M41" i="29" s="1"/>
  <c r="K51" i="29"/>
  <c r="M51" i="29" s="1"/>
  <c r="K8" i="29"/>
  <c r="M8" i="29" s="1"/>
  <c r="K26" i="29"/>
  <c r="M26" i="29" s="1"/>
  <c r="K54" i="29"/>
  <c r="M54" i="29" s="1"/>
  <c r="K31" i="29"/>
  <c r="M31" i="29" s="1"/>
  <c r="K9" i="29"/>
  <c r="M9" i="29" s="1"/>
  <c r="K32" i="29"/>
  <c r="M32" i="29" s="1"/>
  <c r="K10" i="29"/>
  <c r="M10" i="29" s="1"/>
  <c r="K44" i="29"/>
  <c r="M44" i="29" s="1"/>
  <c r="Q6" i="29"/>
  <c r="S6" i="29"/>
  <c r="T6" i="29" s="1"/>
  <c r="K14" i="29"/>
  <c r="M14" i="29" s="1"/>
  <c r="K7" i="29"/>
  <c r="M7" i="29" s="1"/>
  <c r="K33" i="29"/>
  <c r="M33" i="29" s="1"/>
  <c r="K50" i="29"/>
  <c r="M50" i="29" s="1"/>
  <c r="K20" i="29"/>
  <c r="M20" i="29" s="1"/>
  <c r="K47" i="29"/>
  <c r="M47" i="29" s="1"/>
  <c r="K40" i="29"/>
  <c r="M40" i="29" s="1"/>
  <c r="K31" i="28"/>
  <c r="M31" i="28" s="1"/>
  <c r="K42" i="28"/>
  <c r="M42" i="28" s="1"/>
  <c r="K41" i="28"/>
  <c r="M41" i="28" s="1"/>
  <c r="K6" i="28"/>
  <c r="M6" i="28" s="1"/>
  <c r="K35" i="28"/>
  <c r="M35" i="28" s="1"/>
  <c r="K30" i="28"/>
  <c r="M30" i="28" s="1"/>
  <c r="K8" i="28"/>
  <c r="M8" i="28" s="1"/>
  <c r="K12" i="28"/>
  <c r="M12" i="28" s="1"/>
  <c r="K34" i="28"/>
  <c r="M34" i="28" s="1"/>
  <c r="K51" i="28"/>
  <c r="M51" i="28" s="1"/>
  <c r="K46" i="28"/>
  <c r="M46" i="28" s="1"/>
  <c r="K20" i="28"/>
  <c r="M20" i="28" s="1"/>
  <c r="K49" i="28"/>
  <c r="M49" i="28" s="1"/>
  <c r="K47" i="28"/>
  <c r="M47" i="28" s="1"/>
  <c r="K45" i="27"/>
  <c r="M45" i="27" s="1"/>
  <c r="K46" i="27"/>
  <c r="M46" i="27" s="1"/>
  <c r="K34" i="27"/>
  <c r="M34" i="27" s="1"/>
  <c r="K35" i="27"/>
  <c r="M35" i="27" s="1"/>
  <c r="K37" i="27"/>
  <c r="M37" i="27" s="1"/>
  <c r="K42" i="27"/>
  <c r="M42" i="27" s="1"/>
  <c r="K50" i="27"/>
  <c r="M50" i="27" s="1"/>
  <c r="K51" i="27"/>
  <c r="M51" i="27" s="1"/>
  <c r="K30" i="27"/>
  <c r="M30" i="27" s="1"/>
  <c r="K48" i="27"/>
  <c r="M48" i="27" s="1"/>
  <c r="K16" i="27"/>
  <c r="M16" i="27" s="1"/>
  <c r="K24" i="27"/>
  <c r="M24" i="27" s="1"/>
  <c r="K10" i="27"/>
  <c r="M10" i="27" s="1"/>
  <c r="K8" i="27"/>
  <c r="M8" i="27" s="1"/>
  <c r="K41" i="27"/>
  <c r="M41" i="27" s="1"/>
  <c r="K47" i="27"/>
  <c r="M47" i="27" s="1"/>
  <c r="K6" i="27"/>
  <c r="M6" i="27" s="1"/>
  <c r="K33" i="27"/>
  <c r="M33" i="27" s="1"/>
  <c r="K39" i="27"/>
  <c r="M39" i="27" s="1"/>
  <c r="K9" i="27"/>
  <c r="M9" i="27" s="1"/>
  <c r="K35" i="26"/>
  <c r="M35" i="26" s="1"/>
  <c r="K34" i="26"/>
  <c r="M34" i="26" s="1"/>
  <c r="K53" i="26"/>
  <c r="M53" i="26" s="1"/>
  <c r="K42" i="26"/>
  <c r="M42" i="26" s="1"/>
  <c r="K50" i="26"/>
  <c r="M50" i="26" s="1"/>
  <c r="K49" i="26"/>
  <c r="M49" i="26" s="1"/>
  <c r="K33" i="26"/>
  <c r="M33" i="26" s="1"/>
  <c r="K48" i="26"/>
  <c r="M48" i="26" s="1"/>
  <c r="K30" i="26"/>
  <c r="M30" i="26" s="1"/>
  <c r="K21" i="26"/>
  <c r="M21" i="26" s="1"/>
  <c r="K26" i="26"/>
  <c r="M26" i="26" s="1"/>
  <c r="K25" i="26"/>
  <c r="M25" i="26" s="1"/>
  <c r="K18" i="26"/>
  <c r="M18" i="26" s="1"/>
  <c r="K20" i="26"/>
  <c r="M20" i="26" s="1"/>
  <c r="K24" i="26"/>
  <c r="M24" i="26" s="1"/>
  <c r="K41" i="26"/>
  <c r="M41" i="26" s="1"/>
  <c r="K10" i="26"/>
  <c r="M10" i="26" s="1"/>
  <c r="K40" i="26"/>
  <c r="M40" i="26" s="1"/>
  <c r="K54" i="26"/>
  <c r="M54" i="26" s="1"/>
  <c r="K14" i="26"/>
  <c r="M14" i="26" s="1"/>
  <c r="K17" i="26"/>
  <c r="M17" i="26" s="1"/>
  <c r="S6" i="26"/>
  <c r="T6" i="26" s="1"/>
  <c r="K6" i="26" s="1"/>
  <c r="M6" i="26" s="1"/>
  <c r="K45" i="26"/>
  <c r="M45" i="26" s="1"/>
  <c r="K52" i="26"/>
  <c r="M52" i="26" s="1"/>
  <c r="K44" i="26"/>
  <c r="M44" i="26" s="1"/>
  <c r="K16" i="26"/>
  <c r="M16" i="26" s="1"/>
  <c r="K28" i="26"/>
  <c r="M28" i="26" s="1"/>
  <c r="K39" i="26"/>
  <c r="M39" i="26" s="1"/>
  <c r="K46" i="26"/>
  <c r="M46" i="26" s="1"/>
  <c r="K9" i="26"/>
  <c r="M9" i="26" s="1"/>
  <c r="K31" i="26"/>
  <c r="M31" i="26" s="1"/>
  <c r="AN39" i="23"/>
  <c r="AW34" i="23"/>
  <c r="AH34" i="23"/>
  <c r="Y34" i="23"/>
  <c r="AN46" i="23"/>
  <c r="AH49" i="23"/>
  <c r="AM35" i="23"/>
  <c r="AE34" i="23"/>
  <c r="P48" i="23"/>
  <c r="AT34" i="23"/>
  <c r="AN34" i="23"/>
  <c r="AW39" i="23"/>
  <c r="AB43" i="23"/>
  <c r="AK46" i="23"/>
  <c r="AK49" i="23"/>
  <c r="X49" i="23"/>
  <c r="Y49" i="23" s="1"/>
  <c r="AH46" i="23"/>
  <c r="AE35" i="23"/>
  <c r="AB34" i="23"/>
  <c r="P49" i="23"/>
  <c r="Y35" i="23"/>
  <c r="AK43" i="23"/>
  <c r="AE46" i="23"/>
  <c r="AS49" i="23"/>
  <c r="AT49" i="23" s="1"/>
  <c r="V48" i="23"/>
  <c r="AE43" i="23"/>
  <c r="AN35" i="23"/>
  <c r="P35" i="23"/>
  <c r="AW43" i="23"/>
  <c r="AW35" i="23"/>
  <c r="AN43" i="23"/>
  <c r="AK35" i="23"/>
  <c r="Y43" i="23"/>
  <c r="V43" i="23"/>
  <c r="AH43" i="23"/>
  <c r="AQ43" i="23"/>
  <c r="P46" i="23"/>
  <c r="AN48" i="23"/>
  <c r="AH35" i="23"/>
  <c r="AT35" i="23"/>
  <c r="AW45" i="23"/>
  <c r="AQ46" i="23"/>
  <c r="U42" i="23"/>
  <c r="AB46" i="23"/>
  <c r="AE48" i="23"/>
  <c r="AK46" i="24"/>
  <c r="AB46" i="24"/>
  <c r="AE46" i="24"/>
  <c r="AS49" i="24"/>
  <c r="AT49" i="24" s="1"/>
  <c r="Y40" i="24"/>
  <c r="AH30" i="24"/>
  <c r="P41" i="24"/>
  <c r="U35" i="24"/>
  <c r="V35" i="24" s="1"/>
  <c r="AT46" i="24"/>
  <c r="Y46" i="24"/>
  <c r="R46" i="24"/>
  <c r="S46" i="24" s="1"/>
  <c r="V51" i="24"/>
  <c r="O36" i="24"/>
  <c r="R36" i="24"/>
  <c r="AN54" i="24"/>
  <c r="AN46" i="24"/>
  <c r="P46" i="24"/>
  <c r="O35" i="24"/>
  <c r="P35" i="24" s="1"/>
  <c r="R35" i="24"/>
  <c r="S41" i="24"/>
  <c r="V43" i="24"/>
  <c r="U42" i="24"/>
  <c r="V42" i="24" s="1"/>
  <c r="K42" i="24" s="1"/>
  <c r="L42" i="24" s="1"/>
  <c r="AE50" i="24"/>
  <c r="AH43" i="24"/>
  <c r="P43" i="24"/>
  <c r="AN37" i="24"/>
  <c r="AB37" i="24"/>
  <c r="AT45" i="24"/>
  <c r="P45" i="24"/>
  <c r="AW45" i="24"/>
  <c r="P44" i="24"/>
  <c r="AP44" i="24"/>
  <c r="AT34" i="24"/>
  <c r="AA51" i="24"/>
  <c r="AB51" i="24" s="1"/>
  <c r="AN43" i="24"/>
  <c r="AH48" i="24"/>
  <c r="AQ46" i="24"/>
  <c r="R30" i="24"/>
  <c r="S30" i="24" s="1"/>
  <c r="V50" i="24"/>
  <c r="Y43" i="24"/>
  <c r="AB50" i="24"/>
  <c r="V46" i="24"/>
  <c r="AT54" i="24"/>
  <c r="AK43" i="24"/>
  <c r="AK31" i="24"/>
  <c r="V31" i="24"/>
  <c r="AE31" i="24"/>
  <c r="AH50" i="24"/>
  <c r="X49" i="24"/>
  <c r="Y49" i="24" s="1"/>
  <c r="K49" i="24" s="1"/>
  <c r="L49" i="24" s="1"/>
  <c r="AS48" i="24"/>
  <c r="AT48" i="24" s="1"/>
  <c r="AP43" i="24"/>
  <c r="AK51" i="24"/>
  <c r="AH31" i="24"/>
  <c r="Y31" i="24"/>
  <c r="Y30" i="24"/>
  <c r="AN41" i="24"/>
  <c r="U34" i="24"/>
  <c r="AK44" i="24"/>
  <c r="AM35" i="24"/>
  <c r="AN35" i="24" s="1"/>
  <c r="Y44" i="24"/>
  <c r="AH51" i="24"/>
  <c r="AK30" i="24"/>
  <c r="AK48" i="24"/>
  <c r="P48" i="24"/>
  <c r="V34" i="24"/>
  <c r="R45" i="24"/>
  <c r="S45" i="24" s="1"/>
  <c r="AB34" i="24"/>
  <c r="AQ34" i="24"/>
  <c r="AN51" i="24"/>
  <c r="Y51" i="24"/>
  <c r="U36" i="24"/>
  <c r="V36" i="24" s="1"/>
  <c r="AB52" i="24"/>
  <c r="S31" i="24"/>
  <c r="P31" i="24"/>
  <c r="AQ31" i="24"/>
  <c r="AB30" i="24"/>
  <c r="AW54" i="24"/>
  <c r="AB54" i="24"/>
  <c r="R48" i="24"/>
  <c r="S48" i="24" s="1"/>
  <c r="AQ38" i="24"/>
  <c r="AB47" i="24"/>
  <c r="AK47" i="24"/>
  <c r="AH44" i="24"/>
  <c r="AJ42" i="24"/>
  <c r="AK42" i="24" s="1"/>
  <c r="AN34" i="24"/>
  <c r="AJ34" i="24"/>
  <c r="AK34" i="24" s="1"/>
  <c r="R50" i="24"/>
  <c r="S50" i="24" s="1"/>
  <c r="V48" i="24"/>
  <c r="AW48" i="24"/>
  <c r="AH47" i="24"/>
  <c r="Y47" i="24"/>
  <c r="AT44" i="24"/>
  <c r="AM40" i="24"/>
  <c r="AN40" i="24" s="1"/>
  <c r="AH34" i="24"/>
  <c r="AE51" i="24"/>
  <c r="AD52" i="24"/>
  <c r="U52" i="24"/>
  <c r="V52" i="24" s="1"/>
  <c r="AW31" i="24"/>
  <c r="AQ30" i="24"/>
  <c r="AT30" i="24"/>
  <c r="AK33" i="24"/>
  <c r="AT33" i="24"/>
  <c r="K8" i="24"/>
  <c r="L8" i="24" s="1"/>
  <c r="AT21" i="24"/>
  <c r="AN21" i="24"/>
  <c r="S21" i="24"/>
  <c r="AB21" i="24"/>
  <c r="V21" i="24"/>
  <c r="AQ21" i="24"/>
  <c r="AH21" i="24"/>
  <c r="P21" i="24"/>
  <c r="AW21" i="24"/>
  <c r="AK23" i="24"/>
  <c r="P23" i="24"/>
  <c r="AW14" i="24"/>
  <c r="Y14" i="24"/>
  <c r="AK40" i="24"/>
  <c r="K27" i="24"/>
  <c r="L27" i="24" s="1"/>
  <c r="U44" i="24"/>
  <c r="V44" i="24" s="1"/>
  <c r="AE38" i="24"/>
  <c r="AB36" i="24"/>
  <c r="AE21" i="24"/>
  <c r="AK21" i="24"/>
  <c r="Y23" i="24"/>
  <c r="AT9" i="24"/>
  <c r="AN9" i="24"/>
  <c r="S9" i="24"/>
  <c r="AH9" i="24"/>
  <c r="AB9" i="24"/>
  <c r="AQ9" i="24"/>
  <c r="V9" i="24"/>
  <c r="AH52" i="24"/>
  <c r="P18" i="24"/>
  <c r="AQ14" i="24"/>
  <c r="AP17" i="24"/>
  <c r="AQ17" i="24" s="1"/>
  <c r="AN25" i="24"/>
  <c r="AH25" i="24"/>
  <c r="R25" i="24"/>
  <c r="S25" i="24" s="1"/>
  <c r="AW25" i="24"/>
  <c r="U13" i="24"/>
  <c r="V13" i="24" s="1"/>
  <c r="U37" i="24"/>
  <c r="V37" i="24" s="1"/>
  <c r="S35" i="24"/>
  <c r="AP45" i="24"/>
  <c r="AE40" i="24"/>
  <c r="S40" i="24"/>
  <c r="AP37" i="24"/>
  <c r="AK37" i="24"/>
  <c r="AT51" i="24"/>
  <c r="R51" i="24"/>
  <c r="S51" i="24" s="1"/>
  <c r="AW51" i="24"/>
  <c r="R24" i="24"/>
  <c r="S24" i="24" s="1"/>
  <c r="K24" i="24" s="1"/>
  <c r="L24" i="24" s="1"/>
  <c r="S36" i="24"/>
  <c r="AN36" i="24"/>
  <c r="AH36" i="24"/>
  <c r="AQ54" i="24"/>
  <c r="AQ39" i="24"/>
  <c r="AQ26" i="24"/>
  <c r="AQ43" i="24"/>
  <c r="AQ35" i="24"/>
  <c r="Y21" i="24"/>
  <c r="AK52" i="24"/>
  <c r="P19" i="24"/>
  <c r="V14" i="24"/>
  <c r="S6" i="24"/>
  <c r="Y6" i="24"/>
  <c r="U30" i="24"/>
  <c r="V30" i="24" s="1"/>
  <c r="O30" i="24"/>
  <c r="P30" i="24" s="1"/>
  <c r="AH23" i="24"/>
  <c r="V23" i="24"/>
  <c r="AQ23" i="24"/>
  <c r="AK14" i="24"/>
  <c r="AW52" i="24"/>
  <c r="AN52" i="24"/>
  <c r="AQ45" i="24"/>
  <c r="AT31" i="24"/>
  <c r="AN30" i="24"/>
  <c r="AW30" i="24"/>
  <c r="AT19" i="24"/>
  <c r="AJ19" i="24"/>
  <c r="AK19" i="24" s="1"/>
  <c r="P14" i="24"/>
  <c r="AE14" i="24"/>
  <c r="S13" i="24"/>
  <c r="AA6" i="24"/>
  <c r="AN6" i="24"/>
  <c r="AN17" i="24"/>
  <c r="AH13" i="24"/>
  <c r="AE25" i="24"/>
  <c r="AT25" i="24"/>
  <c r="AK25" i="24"/>
  <c r="AN13" i="24"/>
  <c r="S47" i="24"/>
  <c r="AQ40" i="24"/>
  <c r="AB40" i="24"/>
  <c r="V40" i="24"/>
  <c r="AH40" i="24"/>
  <c r="AW40" i="24"/>
  <c r="K20" i="24"/>
  <c r="L20" i="24" s="1"/>
  <c r="K22" i="24"/>
  <c r="L22" i="24" s="1"/>
  <c r="S23" i="24"/>
  <c r="AH14" i="24"/>
  <c r="AN14" i="24"/>
  <c r="K11" i="24"/>
  <c r="L11" i="24" s="1"/>
  <c r="R17" i="24"/>
  <c r="S17" i="24" s="1"/>
  <c r="K53" i="24"/>
  <c r="L53" i="24" s="1"/>
  <c r="U45" i="24"/>
  <c r="V45" i="24" s="1"/>
  <c r="R34" i="24"/>
  <c r="S34" i="24" s="1"/>
  <c r="O34" i="24"/>
  <c r="P34" i="24" s="1"/>
  <c r="AK38" i="24"/>
  <c r="AT38" i="24"/>
  <c r="P36" i="24"/>
  <c r="AQ36" i="24"/>
  <c r="AW36" i="24"/>
  <c r="AE9" i="24"/>
  <c r="AK9" i="24"/>
  <c r="AM31" i="24"/>
  <c r="AN31" i="24" s="1"/>
  <c r="AD30" i="24"/>
  <c r="AE30" i="24" s="1"/>
  <c r="V25" i="24"/>
  <c r="AB14" i="24"/>
  <c r="U17" i="24"/>
  <c r="V17" i="24" s="1"/>
  <c r="O39" i="24"/>
  <c r="P39" i="24" s="1"/>
  <c r="U39" i="24"/>
  <c r="V39" i="24" s="1"/>
  <c r="R43" i="24"/>
  <c r="S43" i="24" s="1"/>
  <c r="U47" i="24"/>
  <c r="V47" i="24" s="1"/>
  <c r="O33" i="24"/>
  <c r="P33" i="24" s="1"/>
  <c r="U33" i="24"/>
  <c r="V33" i="24" s="1"/>
  <c r="AM47" i="24"/>
  <c r="AN47" i="24" s="1"/>
  <c r="P47" i="24"/>
  <c r="AQ47" i="24"/>
  <c r="AE47" i="24"/>
  <c r="AW47" i="24"/>
  <c r="AQ44" i="24"/>
  <c r="AN44" i="24"/>
  <c r="S44" i="24"/>
  <c r="AW44" i="24"/>
  <c r="AT40" i="24"/>
  <c r="P51" i="24"/>
  <c r="AQ51" i="24"/>
  <c r="AV46" i="24"/>
  <c r="AW46" i="24" s="1"/>
  <c r="K46" i="24" s="1"/>
  <c r="L46" i="24" s="1"/>
  <c r="O38" i="24"/>
  <c r="P38" i="24" s="1"/>
  <c r="U38" i="24"/>
  <c r="V38" i="24" s="1"/>
  <c r="AW38" i="24"/>
  <c r="AH38" i="24"/>
  <c r="X38" i="24"/>
  <c r="Y38" i="24" s="1"/>
  <c r="AE36" i="24"/>
  <c r="AT36" i="24"/>
  <c r="Y36" i="24"/>
  <c r="K32" i="24"/>
  <c r="L32" i="24" s="1"/>
  <c r="K26" i="24"/>
  <c r="L26" i="24" s="1"/>
  <c r="U21" i="24"/>
  <c r="K16" i="24"/>
  <c r="L16" i="24" s="1"/>
  <c r="K12" i="24"/>
  <c r="L12" i="24" s="1"/>
  <c r="AT23" i="24"/>
  <c r="AT14" i="24"/>
  <c r="Y9" i="24"/>
  <c r="AT7" i="24"/>
  <c r="K7" i="24" s="1"/>
  <c r="L7" i="24" s="1"/>
  <c r="R38" i="24"/>
  <c r="S38" i="24" s="1"/>
  <c r="AN23" i="24"/>
  <c r="AB23" i="24"/>
  <c r="AW23" i="24"/>
  <c r="AE23" i="24"/>
  <c r="R15" i="24"/>
  <c r="S15" i="24" s="1"/>
  <c r="K15" i="24" s="1"/>
  <c r="L15" i="24" s="1"/>
  <c r="AE52" i="24"/>
  <c r="AQ25" i="24"/>
  <c r="AW19" i="24"/>
  <c r="AB19" i="24"/>
  <c r="AH19" i="24"/>
  <c r="AE18" i="24"/>
  <c r="R18" i="24"/>
  <c r="S18" i="24" s="1"/>
  <c r="AQ18" i="24"/>
  <c r="AN18" i="24"/>
  <c r="AB6" i="24"/>
  <c r="AW17" i="24"/>
  <c r="AW13" i="24"/>
  <c r="R14" i="24"/>
  <c r="S14" i="24" s="1"/>
  <c r="AE47" i="23"/>
  <c r="AT47" i="23"/>
  <c r="AK40" i="23"/>
  <c r="Y37" i="23"/>
  <c r="Y41" i="23"/>
  <c r="AE49" i="23"/>
  <c r="AM47" i="23"/>
  <c r="AN47" i="23" s="1"/>
  <c r="AB39" i="23"/>
  <c r="R44" i="23"/>
  <c r="S44" i="23" s="1"/>
  <c r="Y42" i="23"/>
  <c r="R48" i="23"/>
  <c r="S48" i="23" s="1"/>
  <c r="AK39" i="23"/>
  <c r="V49" i="23"/>
  <c r="AT30" i="23"/>
  <c r="AD30" i="23"/>
  <c r="R35" i="23"/>
  <c r="S35" i="23" s="1"/>
  <c r="S32" i="23"/>
  <c r="AW49" i="23"/>
  <c r="X46" i="23"/>
  <c r="Y46" i="23" s="1"/>
  <c r="AP44" i="23"/>
  <c r="AA51" i="23"/>
  <c r="AB51" i="23" s="1"/>
  <c r="V51" i="23"/>
  <c r="AP45" i="23"/>
  <c r="AQ45" i="23"/>
  <c r="Y39" i="23"/>
  <c r="AE32" i="23"/>
  <c r="AE38" i="23"/>
  <c r="U35" i="23"/>
  <c r="V35" i="23" s="1"/>
  <c r="AB35" i="23"/>
  <c r="AQ32" i="23"/>
  <c r="AT37" i="23"/>
  <c r="AW36" i="23"/>
  <c r="AG33" i="23"/>
  <c r="AH33" i="23" s="1"/>
  <c r="AN49" i="23"/>
  <c r="AK47" i="23"/>
  <c r="AT39" i="23"/>
  <c r="U34" i="23"/>
  <c r="V34" i="23" s="1"/>
  <c r="AB32" i="23"/>
  <c r="AW32" i="23"/>
  <c r="P36" i="23"/>
  <c r="AN38" i="23"/>
  <c r="AT32" i="23"/>
  <c r="AH39" i="23"/>
  <c r="AK30" i="23"/>
  <c r="AB52" i="23"/>
  <c r="R49" i="23"/>
  <c r="S49" i="23" s="1"/>
  <c r="X48" i="23"/>
  <c r="Y48" i="23" s="1"/>
  <c r="Y44" i="23"/>
  <c r="AT52" i="23"/>
  <c r="AD39" i="23"/>
  <c r="AE39" i="23" s="1"/>
  <c r="Y40" i="23"/>
  <c r="Y52" i="23"/>
  <c r="AH45" i="23"/>
  <c r="AE33" i="23"/>
  <c r="AH32" i="23"/>
  <c r="Y32" i="23"/>
  <c r="AN32" i="23"/>
  <c r="AJ42" i="23"/>
  <c r="AK42" i="23" s="1"/>
  <c r="AK36" i="23"/>
  <c r="AB36" i="23"/>
  <c r="Y33" i="23"/>
  <c r="AK33" i="23"/>
  <c r="S52" i="23"/>
  <c r="AN33" i="23"/>
  <c r="V42" i="23"/>
  <c r="AE36" i="23"/>
  <c r="AH36" i="23"/>
  <c r="U47" i="23"/>
  <c r="V47" i="23" s="1"/>
  <c r="AE40" i="23"/>
  <c r="V52" i="23"/>
  <c r="Y51" i="23"/>
  <c r="R46" i="23"/>
  <c r="S46" i="23" s="1"/>
  <c r="AB45" i="23"/>
  <c r="U32" i="23"/>
  <c r="V32" i="23" s="1"/>
  <c r="U37" i="23"/>
  <c r="V37" i="23" s="1"/>
  <c r="AE41" i="23"/>
  <c r="AQ36" i="23"/>
  <c r="Y36" i="23"/>
  <c r="AT36" i="23"/>
  <c r="R38" i="23"/>
  <c r="S38" i="23" s="1"/>
  <c r="AT38" i="23"/>
  <c r="AM31" i="23"/>
  <c r="AN31" i="23" s="1"/>
  <c r="K31" i="23" s="1"/>
  <c r="L31" i="23" s="1"/>
  <c r="AW54" i="23"/>
  <c r="AB54" i="23"/>
  <c r="K54" i="23" s="1"/>
  <c r="L54" i="23" s="1"/>
  <c r="K53" i="23"/>
  <c r="L53" i="23" s="1"/>
  <c r="K20" i="23"/>
  <c r="L20" i="23" s="1"/>
  <c r="AW44" i="23"/>
  <c r="AN37" i="23"/>
  <c r="AB41" i="23"/>
  <c r="AB16" i="23"/>
  <c r="AW16" i="23"/>
  <c r="P44" i="23"/>
  <c r="AD52" i="23"/>
  <c r="AE52" i="23" s="1"/>
  <c r="P45" i="23"/>
  <c r="O33" i="23"/>
  <c r="P33" i="23" s="1"/>
  <c r="U33" i="23"/>
  <c r="V33" i="23" s="1"/>
  <c r="K24" i="23"/>
  <c r="L24" i="23" s="1"/>
  <c r="R33" i="23"/>
  <c r="S33" i="23" s="1"/>
  <c r="AQ42" i="23"/>
  <c r="AE30" i="23"/>
  <c r="AW30" i="23"/>
  <c r="P41" i="23"/>
  <c r="AN51" i="23"/>
  <c r="AW38" i="23"/>
  <c r="AH16" i="23"/>
  <c r="P22" i="23"/>
  <c r="O39" i="23"/>
  <c r="P39" i="23" s="1"/>
  <c r="U39" i="23"/>
  <c r="V39" i="23" s="1"/>
  <c r="AB47" i="23"/>
  <c r="R47" i="23"/>
  <c r="S47" i="23" s="1"/>
  <c r="AH44" i="23"/>
  <c r="U44" i="23"/>
  <c r="V44" i="23" s="1"/>
  <c r="U40" i="23"/>
  <c r="V40" i="23" s="1"/>
  <c r="AW52" i="23"/>
  <c r="AH52" i="23"/>
  <c r="AE51" i="23"/>
  <c r="AT51" i="23"/>
  <c r="R51" i="23"/>
  <c r="S51" i="23" s="1"/>
  <c r="AW51" i="23"/>
  <c r="U45" i="23"/>
  <c r="V45" i="23" s="1"/>
  <c r="S45" i="23"/>
  <c r="K28" i="23"/>
  <c r="L28" i="23" s="1"/>
  <c r="AE42" i="23"/>
  <c r="R37" i="23"/>
  <c r="S37" i="23" s="1"/>
  <c r="AK37" i="23"/>
  <c r="P37" i="23"/>
  <c r="R30" i="23"/>
  <c r="S30" i="23" s="1"/>
  <c r="S26" i="23"/>
  <c r="R18" i="23"/>
  <c r="S18" i="23" s="1"/>
  <c r="K18" i="23" s="1"/>
  <c r="L18" i="23" s="1"/>
  <c r="R15" i="23"/>
  <c r="S15" i="23" s="1"/>
  <c r="K15" i="23" s="1"/>
  <c r="L15" i="23" s="1"/>
  <c r="U13" i="23"/>
  <c r="V13" i="23" s="1"/>
  <c r="K13" i="23" s="1"/>
  <c r="L13" i="23" s="1"/>
  <c r="Y26" i="23"/>
  <c r="AJ41" i="23"/>
  <c r="AK41" i="23" s="1"/>
  <c r="U41" i="23"/>
  <c r="AN41" i="23"/>
  <c r="U36" i="23"/>
  <c r="V36" i="23" s="1"/>
  <c r="Y14" i="23"/>
  <c r="AT14" i="23"/>
  <c r="AB38" i="23"/>
  <c r="O38" i="23"/>
  <c r="P38" i="23" s="1"/>
  <c r="U38" i="23"/>
  <c r="V38" i="23" s="1"/>
  <c r="X38" i="23"/>
  <c r="Y38" i="23" s="1"/>
  <c r="AT26" i="23"/>
  <c r="P14" i="23"/>
  <c r="AK27" i="23"/>
  <c r="AW27" i="23"/>
  <c r="AN23" i="23"/>
  <c r="AH23" i="23"/>
  <c r="AQ23" i="23"/>
  <c r="AQ16" i="23"/>
  <c r="P16" i="23"/>
  <c r="Y16" i="23"/>
  <c r="U14" i="23"/>
  <c r="V14" i="23" s="1"/>
  <c r="V6" i="23"/>
  <c r="AQ6" i="23"/>
  <c r="AT6" i="23" s="1"/>
  <c r="AE6" i="23"/>
  <c r="AW6" i="23"/>
  <c r="AG10" i="23"/>
  <c r="AH10" i="23" s="1"/>
  <c r="P7" i="23"/>
  <c r="AE7" i="23"/>
  <c r="AQ44" i="23"/>
  <c r="AE44" i="23"/>
  <c r="AT44" i="23"/>
  <c r="AB44" i="23"/>
  <c r="AT45" i="23"/>
  <c r="AK45" i="23"/>
  <c r="AH42" i="23"/>
  <c r="AW41" i="23"/>
  <c r="Y22" i="23"/>
  <c r="AT22" i="23"/>
  <c r="AE22" i="23"/>
  <c r="AB22" i="23"/>
  <c r="AS46" i="23"/>
  <c r="AT46" i="23" s="1"/>
  <c r="AV46" i="23"/>
  <c r="AW46" i="23" s="1"/>
  <c r="P47" i="23"/>
  <c r="AQ47" i="23"/>
  <c r="AW47" i="23"/>
  <c r="AK44" i="23"/>
  <c r="Y45" i="23"/>
  <c r="AE45" i="23"/>
  <c r="O34" i="23"/>
  <c r="P34" i="23" s="1"/>
  <c r="R34" i="23"/>
  <c r="S34" i="23" s="1"/>
  <c r="AB42" i="23"/>
  <c r="AN42" i="23"/>
  <c r="AB37" i="23"/>
  <c r="AB30" i="23"/>
  <c r="AT41" i="23"/>
  <c r="S41" i="23"/>
  <c r="AT16" i="23"/>
  <c r="AT7" i="23"/>
  <c r="R50" i="23"/>
  <c r="S50" i="23" s="1"/>
  <c r="K50" i="23" s="1"/>
  <c r="L50" i="23" s="1"/>
  <c r="AH47" i="23"/>
  <c r="Y47" i="23"/>
  <c r="AN44" i="23"/>
  <c r="AT40" i="23"/>
  <c r="AN40" i="23"/>
  <c r="AH40" i="23"/>
  <c r="S40" i="23"/>
  <c r="AB40" i="23"/>
  <c r="P40" i="23"/>
  <c r="AQ40" i="23"/>
  <c r="AW40" i="23"/>
  <c r="P51" i="23"/>
  <c r="AQ51" i="23"/>
  <c r="AK51" i="23"/>
  <c r="AN45" i="23"/>
  <c r="R43" i="23"/>
  <c r="S43" i="23" s="1"/>
  <c r="AT25" i="23"/>
  <c r="AN25" i="23"/>
  <c r="AH25" i="23"/>
  <c r="S25" i="23"/>
  <c r="AB25" i="23"/>
  <c r="AQ25" i="23"/>
  <c r="V25" i="23"/>
  <c r="K19" i="23"/>
  <c r="L19" i="23" s="1"/>
  <c r="AT42" i="23"/>
  <c r="P42" i="23"/>
  <c r="AW42" i="23"/>
  <c r="S42" i="23"/>
  <c r="AE37" i="23"/>
  <c r="AQ37" i="23"/>
  <c r="AW37" i="23"/>
  <c r="AH37" i="23"/>
  <c r="AQ30" i="23"/>
  <c r="U30" i="23"/>
  <c r="V30" i="23" s="1"/>
  <c r="O30" i="23"/>
  <c r="P30" i="23" s="1"/>
  <c r="AN30" i="23"/>
  <c r="Y30" i="23"/>
  <c r="K12" i="23"/>
  <c r="L12" i="23" s="1"/>
  <c r="R26" i="23"/>
  <c r="AQ26" i="23"/>
  <c r="AN26" i="23"/>
  <c r="AM11" i="23"/>
  <c r="AN11" i="23" s="1"/>
  <c r="K11" i="23" s="1"/>
  <c r="L11" i="23" s="1"/>
  <c r="AH41" i="23"/>
  <c r="V41" i="23"/>
  <c r="AQ41" i="23"/>
  <c r="AM36" i="23"/>
  <c r="AN36" i="23" s="1"/>
  <c r="R36" i="23"/>
  <c r="S36" i="23" s="1"/>
  <c r="AH30" i="23"/>
  <c r="K17" i="23"/>
  <c r="L17" i="23" s="1"/>
  <c r="U9" i="23"/>
  <c r="V9" i="23" s="1"/>
  <c r="O9" i="23"/>
  <c r="P9" i="23" s="1"/>
  <c r="K8" i="23"/>
  <c r="L8" i="23" s="1"/>
  <c r="AK38" i="23"/>
  <c r="AH38" i="23"/>
  <c r="AE26" i="23"/>
  <c r="R21" i="23"/>
  <c r="S21" i="23" s="1"/>
  <c r="Y27" i="23"/>
  <c r="K27" i="23" s="1"/>
  <c r="L27" i="23" s="1"/>
  <c r="AH27" i="23"/>
  <c r="Y23" i="23"/>
  <c r="AT23" i="23"/>
  <c r="AJ16" i="23"/>
  <c r="AK16" i="23" s="1"/>
  <c r="AQ22" i="23"/>
  <c r="AW22" i="23"/>
  <c r="AH22" i="23"/>
  <c r="AN22" i="23"/>
  <c r="R6" i="23"/>
  <c r="S6" i="23" s="1"/>
  <c r="AE10" i="23"/>
  <c r="V10" i="23"/>
  <c r="AK10" i="23"/>
  <c r="AQ10" i="23"/>
  <c r="AN10" i="23"/>
  <c r="N6" i="18"/>
  <c r="Z6" i="18"/>
  <c r="AL6" i="18"/>
  <c r="N14" i="18"/>
  <c r="O14" i="18" s="1"/>
  <c r="Z14" i="18"/>
  <c r="AL14" i="18"/>
  <c r="Y15" i="18"/>
  <c r="AU16" i="18"/>
  <c r="AM16" i="18"/>
  <c r="AI16" i="18"/>
  <c r="AS16" i="18"/>
  <c r="AO16" i="18"/>
  <c r="AG16" i="18"/>
  <c r="AC16" i="18"/>
  <c r="Q16" i="18"/>
  <c r="M16" i="18"/>
  <c r="S16" i="18" s="1"/>
  <c r="AV16" i="18"/>
  <c r="AR16" i="18"/>
  <c r="AF16" i="18"/>
  <c r="X16" i="18"/>
  <c r="T16" i="18"/>
  <c r="W16" i="18"/>
  <c r="W6" i="18"/>
  <c r="AI6" i="18"/>
  <c r="AM6" i="18"/>
  <c r="AU6" i="18"/>
  <c r="N7" i="18"/>
  <c r="O7" i="18" s="1"/>
  <c r="P7" i="18" s="1"/>
  <c r="R7" i="18"/>
  <c r="S7" i="18" s="1"/>
  <c r="V7" i="18"/>
  <c r="Z7" i="18"/>
  <c r="AD7" i="18"/>
  <c r="AH7" i="18"/>
  <c r="AL7" i="18"/>
  <c r="AP7" i="18"/>
  <c r="M8" i="18"/>
  <c r="Y8" i="18" s="1"/>
  <c r="Q8" i="18"/>
  <c r="AC8" i="18"/>
  <c r="AG8" i="18"/>
  <c r="AK8" i="18"/>
  <c r="AO8" i="18"/>
  <c r="AS8" i="18"/>
  <c r="T9" i="18"/>
  <c r="X9" i="18"/>
  <c r="AB9" i="18"/>
  <c r="AF9" i="18"/>
  <c r="AG9" i="18" s="1"/>
  <c r="AJ9" i="18"/>
  <c r="AN9" i="18"/>
  <c r="AR9" i="18"/>
  <c r="AV9" i="18"/>
  <c r="AW9" i="18" s="1"/>
  <c r="W10" i="18"/>
  <c r="AA10" i="18"/>
  <c r="AI10" i="18"/>
  <c r="AM10" i="18"/>
  <c r="AU10" i="18"/>
  <c r="N11" i="18"/>
  <c r="O11" i="18" s="1"/>
  <c r="R11" i="18"/>
  <c r="V11" i="18"/>
  <c r="Z11" i="18"/>
  <c r="AD11" i="18"/>
  <c r="AH11" i="18"/>
  <c r="AL11" i="18"/>
  <c r="AM11" i="18" s="1"/>
  <c r="AN11" i="18" s="1"/>
  <c r="AP11" i="18"/>
  <c r="AQ11" i="18" s="1"/>
  <c r="M12" i="18"/>
  <c r="AK12" i="18" s="1"/>
  <c r="Q12" i="18"/>
  <c r="U12" i="18" s="1"/>
  <c r="AC12" i="18"/>
  <c r="AG12" i="18"/>
  <c r="AO12" i="18"/>
  <c r="AS12" i="18"/>
  <c r="T13" i="18"/>
  <c r="U13" i="18" s="1"/>
  <c r="X13" i="18"/>
  <c r="AB13" i="18"/>
  <c r="AF13" i="18"/>
  <c r="AJ13" i="18"/>
  <c r="AK13" i="18" s="1"/>
  <c r="AN13" i="18"/>
  <c r="AR13" i="18"/>
  <c r="AV13" i="18"/>
  <c r="AW13" i="18" s="1"/>
  <c r="W14" i="18"/>
  <c r="AA14" i="18"/>
  <c r="AI14" i="18"/>
  <c r="AM14" i="18"/>
  <c r="AU14" i="18"/>
  <c r="AT15" i="18"/>
  <c r="AP15" i="18"/>
  <c r="AQ15" i="18" s="1"/>
  <c r="N15" i="18"/>
  <c r="O15" i="18" s="1"/>
  <c r="V15" i="18"/>
  <c r="Z15" i="18"/>
  <c r="AD15" i="18" s="1"/>
  <c r="AE15" i="18" s="1"/>
  <c r="AH15" i="18"/>
  <c r="AL15" i="18"/>
  <c r="AV15" i="18"/>
  <c r="AW15" i="18" s="1"/>
  <c r="R16" i="18"/>
  <c r="Z16" i="18"/>
  <c r="AU20" i="18"/>
  <c r="AI20" i="18"/>
  <c r="AM20" i="18" s="1"/>
  <c r="AA20" i="18"/>
  <c r="W20" i="18"/>
  <c r="AS20" i="18"/>
  <c r="AO20" i="18"/>
  <c r="AG20" i="18"/>
  <c r="AC20" i="18"/>
  <c r="Q20" i="18"/>
  <c r="M20" i="18"/>
  <c r="AB20" i="18" s="1"/>
  <c r="AV20" i="18"/>
  <c r="AR20" i="18"/>
  <c r="AJ20" i="18"/>
  <c r="AK20" i="18" s="1"/>
  <c r="AF20" i="18"/>
  <c r="X20" i="18"/>
  <c r="Y20" i="18" s="1"/>
  <c r="T20" i="18"/>
  <c r="P20" i="18"/>
  <c r="Z20" i="18"/>
  <c r="AP20" i="18"/>
  <c r="AT30" i="18"/>
  <c r="AD6" i="18"/>
  <c r="AP6" i="18"/>
  <c r="Y7" i="18"/>
  <c r="AW7" i="18"/>
  <c r="N10" i="18"/>
  <c r="Z10" i="18"/>
  <c r="AP10" i="18"/>
  <c r="Y11" i="18"/>
  <c r="AK11" i="18"/>
  <c r="AW11" i="18"/>
  <c r="T6" i="18"/>
  <c r="AV6" i="18"/>
  <c r="AQ7" i="18"/>
  <c r="N8" i="18"/>
  <c r="Z8" i="18"/>
  <c r="AL8" i="18"/>
  <c r="AT8" i="18"/>
  <c r="AK9" i="18"/>
  <c r="X10" i="18"/>
  <c r="AF10" i="18"/>
  <c r="AR10" i="18"/>
  <c r="AE11" i="18"/>
  <c r="N12" i="18"/>
  <c r="O12" i="18" s="1"/>
  <c r="Y13" i="18"/>
  <c r="X14" i="18"/>
  <c r="AF14" i="18"/>
  <c r="AR14" i="18"/>
  <c r="AA16" i="18"/>
  <c r="AL16" i="18"/>
  <c r="AU28" i="18"/>
  <c r="AM28" i="18"/>
  <c r="AI28" i="18"/>
  <c r="W28" i="18"/>
  <c r="AS28" i="18"/>
  <c r="AO28" i="18"/>
  <c r="AG28" i="18"/>
  <c r="AC28" i="18"/>
  <c r="U28" i="18"/>
  <c r="Q28" i="18"/>
  <c r="M28" i="18"/>
  <c r="S28" i="18" s="1"/>
  <c r="AR28" i="18"/>
  <c r="AN28" i="18"/>
  <c r="AJ28" i="18"/>
  <c r="AK28" i="18" s="1"/>
  <c r="AF28" i="18"/>
  <c r="X28" i="18"/>
  <c r="T28" i="18"/>
  <c r="Z28" i="18"/>
  <c r="AA28" i="18" s="1"/>
  <c r="AB28" i="18" s="1"/>
  <c r="AP28" i="18"/>
  <c r="AD10" i="18"/>
  <c r="AL10" i="18"/>
  <c r="AD14" i="18"/>
  <c r="AK15" i="18"/>
  <c r="X6" i="18"/>
  <c r="AF6" i="18"/>
  <c r="AJ6" i="18"/>
  <c r="AR6" i="18"/>
  <c r="AE7" i="18"/>
  <c r="AD8" i="18"/>
  <c r="AE8" i="18" s="1"/>
  <c r="AH8" i="18"/>
  <c r="AP8" i="18"/>
  <c r="Y9" i="18"/>
  <c r="T10" i="18"/>
  <c r="AJ10" i="18"/>
  <c r="AV10" i="18"/>
  <c r="S11" i="18"/>
  <c r="R12" i="18"/>
  <c r="Z12" i="18"/>
  <c r="AD12" i="18"/>
  <c r="AL12" i="18"/>
  <c r="AM12" i="18" s="1"/>
  <c r="AP12" i="18"/>
  <c r="T14" i="18"/>
  <c r="AJ14" i="18"/>
  <c r="AV14" i="18"/>
  <c r="M6" i="18"/>
  <c r="AW6" i="18" s="1"/>
  <c r="Q6" i="18"/>
  <c r="AC6" i="18"/>
  <c r="AG6" i="18"/>
  <c r="AH6" i="18" s="1"/>
  <c r="AO6" i="18"/>
  <c r="AS6" i="18"/>
  <c r="AB7" i="18"/>
  <c r="O8" i="18"/>
  <c r="W8" i="18"/>
  <c r="AA8" i="18"/>
  <c r="AI8" i="18"/>
  <c r="AQ8" i="18"/>
  <c r="N9" i="18"/>
  <c r="Z9" i="18"/>
  <c r="AD9" i="18"/>
  <c r="AE9" i="18" s="1"/>
  <c r="AH9" i="18"/>
  <c r="AL9" i="18"/>
  <c r="AP9" i="18"/>
  <c r="AQ9" i="18" s="1"/>
  <c r="M10" i="18"/>
  <c r="AQ10" i="18" s="1"/>
  <c r="Q10" i="18"/>
  <c r="R10" i="18" s="1"/>
  <c r="AC10" i="18"/>
  <c r="AK10" i="18"/>
  <c r="AO10" i="18"/>
  <c r="AS10" i="18"/>
  <c r="P11" i="18"/>
  <c r="AB11" i="18"/>
  <c r="W12" i="18"/>
  <c r="AA12" i="18"/>
  <c r="AE12" i="18"/>
  <c r="AI12" i="18"/>
  <c r="N13" i="18"/>
  <c r="O13" i="18" s="1"/>
  <c r="P13" i="18" s="1"/>
  <c r="V13" i="18"/>
  <c r="Z13" i="18"/>
  <c r="AD13" i="18"/>
  <c r="AE13" i="18" s="1"/>
  <c r="AH13" i="18"/>
  <c r="AL13" i="18"/>
  <c r="AP13" i="18" s="1"/>
  <c r="AQ13" i="18" s="1"/>
  <c r="M14" i="18"/>
  <c r="Q14" i="18"/>
  <c r="Y14" i="18"/>
  <c r="AC14" i="18"/>
  <c r="AG14" i="18"/>
  <c r="AO14" i="18"/>
  <c r="AP14" i="18" s="1"/>
  <c r="AS14" i="18"/>
  <c r="P15" i="18"/>
  <c r="AB15" i="18"/>
  <c r="N16" i="18"/>
  <c r="O16" i="18" s="1"/>
  <c r="P16" i="18" s="1"/>
  <c r="AD16" i="18"/>
  <c r="AP16" i="18"/>
  <c r="AU24" i="18"/>
  <c r="AM24" i="18"/>
  <c r="AI24" i="18"/>
  <c r="AA24" i="18"/>
  <c r="W24" i="18"/>
  <c r="AS24" i="18"/>
  <c r="AO24" i="18"/>
  <c r="AG24" i="18"/>
  <c r="AC24" i="18"/>
  <c r="U24" i="18"/>
  <c r="Q24" i="18"/>
  <c r="R24" i="18" s="1"/>
  <c r="M24" i="18"/>
  <c r="AH24" i="18" s="1"/>
  <c r="AV24" i="18"/>
  <c r="AR24" i="18"/>
  <c r="AJ24" i="18"/>
  <c r="AF24" i="18"/>
  <c r="T24" i="18"/>
  <c r="P24" i="18"/>
  <c r="Z24" i="18"/>
  <c r="AP24" i="18"/>
  <c r="N28" i="18"/>
  <c r="O28" i="18" s="1"/>
  <c r="P28" i="18" s="1"/>
  <c r="AD28" i="18"/>
  <c r="AT28" i="18"/>
  <c r="W17" i="18"/>
  <c r="AA17" i="18"/>
  <c r="AB17" i="18" s="1"/>
  <c r="AI17" i="18"/>
  <c r="AM17" i="18"/>
  <c r="AU17" i="18"/>
  <c r="N18" i="18"/>
  <c r="O18" i="18" s="1"/>
  <c r="Z18" i="18"/>
  <c r="AD18" i="18"/>
  <c r="AL18" i="18"/>
  <c r="AP18" i="18"/>
  <c r="Y19" i="18"/>
  <c r="AK19" i="18"/>
  <c r="AO19" i="18"/>
  <c r="AS19" i="18"/>
  <c r="AT19" i="18" s="1"/>
  <c r="AW19" i="18"/>
  <c r="W21" i="18"/>
  <c r="AA21" i="18"/>
  <c r="AI21" i="18"/>
  <c r="AM21" i="18"/>
  <c r="AU21" i="18"/>
  <c r="N22" i="18"/>
  <c r="O22" i="18" s="1"/>
  <c r="Z22" i="18"/>
  <c r="AD22" i="18"/>
  <c r="AL22" i="18"/>
  <c r="AP22" i="18"/>
  <c r="AC23" i="18"/>
  <c r="AG23" i="18"/>
  <c r="AH23" i="18" s="1"/>
  <c r="AO23" i="18"/>
  <c r="AS23" i="18"/>
  <c r="AW23" i="18"/>
  <c r="AM25" i="18"/>
  <c r="AN25" i="18" s="1"/>
  <c r="AU25" i="18"/>
  <c r="N26" i="18"/>
  <c r="O26" i="18" s="1"/>
  <c r="Z26" i="18"/>
  <c r="AD26" i="18"/>
  <c r="AL26" i="18"/>
  <c r="AP26" i="18"/>
  <c r="AC27" i="18"/>
  <c r="AO27" i="18"/>
  <c r="AS27" i="18"/>
  <c r="AW27" i="18"/>
  <c r="AQ30" i="18"/>
  <c r="AU30" i="18"/>
  <c r="N31" i="18"/>
  <c r="O31" i="18" s="1"/>
  <c r="R31" i="18"/>
  <c r="Z31" i="18"/>
  <c r="AD31" i="18"/>
  <c r="AL31" i="18"/>
  <c r="AP31" i="18"/>
  <c r="AV32" i="18"/>
  <c r="AR32" i="18"/>
  <c r="AJ32" i="18"/>
  <c r="AF32" i="18"/>
  <c r="AL32" i="18"/>
  <c r="AS32" i="18"/>
  <c r="AO32" i="18"/>
  <c r="AG32" i="18"/>
  <c r="AC32" i="18"/>
  <c r="N32" i="18"/>
  <c r="O32" i="18" s="1"/>
  <c r="Z32" i="18"/>
  <c r="AI32" i="18"/>
  <c r="AU37" i="18"/>
  <c r="AM37" i="18"/>
  <c r="AI37" i="18"/>
  <c r="AA37" i="18"/>
  <c r="W37" i="18"/>
  <c r="AS37" i="18"/>
  <c r="AO37" i="18"/>
  <c r="AG37" i="18"/>
  <c r="AC37" i="18"/>
  <c r="Q37" i="18"/>
  <c r="M37" i="18"/>
  <c r="AH37" i="18" s="1"/>
  <c r="AV37" i="18"/>
  <c r="AR37" i="18"/>
  <c r="AJ37" i="18"/>
  <c r="AF37" i="18"/>
  <c r="X37" i="18"/>
  <c r="T37" i="18"/>
  <c r="Z37" i="18"/>
  <c r="AQ39" i="18"/>
  <c r="AW39" i="18"/>
  <c r="Z40" i="18"/>
  <c r="T17" i="18"/>
  <c r="U17" i="18" s="1"/>
  <c r="X17" i="18"/>
  <c r="Y17" i="18" s="1"/>
  <c r="AF17" i="18"/>
  <c r="AJ17" i="18"/>
  <c r="AK17" i="18" s="1"/>
  <c r="AN17" i="18"/>
  <c r="AR17" i="18"/>
  <c r="AV17" i="18"/>
  <c r="AW17" i="18" s="1"/>
  <c r="W18" i="18"/>
  <c r="AA18" i="18"/>
  <c r="AI18" i="18"/>
  <c r="AM18" i="18"/>
  <c r="AU18" i="18"/>
  <c r="N19" i="18"/>
  <c r="O19" i="18" s="1"/>
  <c r="R19" i="18"/>
  <c r="S19" i="18" s="1"/>
  <c r="V19" i="18"/>
  <c r="Z19" i="18"/>
  <c r="AD19" i="18"/>
  <c r="AE19" i="18" s="1"/>
  <c r="AH19" i="18"/>
  <c r="AL19" i="18"/>
  <c r="AP19" i="18"/>
  <c r="AQ19" i="18" s="1"/>
  <c r="T21" i="18"/>
  <c r="U21" i="18" s="1"/>
  <c r="X21" i="18"/>
  <c r="Y21" i="18" s="1"/>
  <c r="AB21" i="18"/>
  <c r="AF21" i="18"/>
  <c r="AJ21" i="18"/>
  <c r="AK21" i="18" s="1"/>
  <c r="AN21" i="18"/>
  <c r="AR21" i="18"/>
  <c r="AV21" i="18"/>
  <c r="AW21" i="18" s="1"/>
  <c r="W22" i="18"/>
  <c r="AA22" i="18"/>
  <c r="AI22" i="18"/>
  <c r="AU22" i="18"/>
  <c r="N23" i="18"/>
  <c r="O23" i="18" s="1"/>
  <c r="V23" i="18"/>
  <c r="Z23" i="18"/>
  <c r="AD23" i="18"/>
  <c r="AE23" i="18" s="1"/>
  <c r="AL23" i="18"/>
  <c r="AP23" i="18"/>
  <c r="AQ23" i="18" s="1"/>
  <c r="AT23" i="18"/>
  <c r="T25" i="18"/>
  <c r="X25" i="18"/>
  <c r="Y25" i="18" s="1"/>
  <c r="AF25" i="18"/>
  <c r="AJ25" i="18"/>
  <c r="AK25" i="18" s="1"/>
  <c r="AR25" i="18"/>
  <c r="AV25" i="18"/>
  <c r="AW25" i="18" s="1"/>
  <c r="W26" i="18"/>
  <c r="AI26" i="18"/>
  <c r="AM26" i="18"/>
  <c r="AU26" i="18"/>
  <c r="N27" i="18"/>
  <c r="O27" i="18" s="1"/>
  <c r="R27" i="18"/>
  <c r="S27" i="18" s="1"/>
  <c r="Z27" i="18"/>
  <c r="AD27" i="18"/>
  <c r="AE27" i="18" s="1"/>
  <c r="AL27" i="18"/>
  <c r="AP27" i="18"/>
  <c r="AT27" i="18"/>
  <c r="T30" i="18"/>
  <c r="X30" i="18"/>
  <c r="Y30" i="18" s="1"/>
  <c r="AB30" i="18"/>
  <c r="AF30" i="18"/>
  <c r="AJ30" i="18"/>
  <c r="AK30" i="18" s="1"/>
  <c r="AN30" i="18"/>
  <c r="AR30" i="18"/>
  <c r="AV30" i="18"/>
  <c r="AW30" i="18" s="1"/>
  <c r="W31" i="18"/>
  <c r="AA31" i="18"/>
  <c r="AI31" i="18"/>
  <c r="AU31" i="18"/>
  <c r="W32" i="18"/>
  <c r="AA32" i="18"/>
  <c r="AM32" i="18"/>
  <c r="AU33" i="18"/>
  <c r="AM33" i="18"/>
  <c r="AI33" i="18"/>
  <c r="AE33" i="18"/>
  <c r="AA33" i="18"/>
  <c r="W33" i="18"/>
  <c r="AS33" i="18"/>
  <c r="AO33" i="18"/>
  <c r="AC33" i="18"/>
  <c r="Q33" i="18"/>
  <c r="R33" i="18" s="1"/>
  <c r="M33" i="18"/>
  <c r="AQ33" i="18" s="1"/>
  <c r="AV33" i="18"/>
  <c r="AW33" i="18" s="1"/>
  <c r="AR33" i="18"/>
  <c r="AJ33" i="18"/>
  <c r="AF33" i="18"/>
  <c r="X33" i="18"/>
  <c r="T33" i="18"/>
  <c r="Z33" i="18"/>
  <c r="AP33" i="18"/>
  <c r="N37" i="18"/>
  <c r="O37" i="18" s="1"/>
  <c r="AD37" i="18"/>
  <c r="O33" i="18"/>
  <c r="P33" i="18" s="1"/>
  <c r="U33" i="18"/>
  <c r="AU40" i="18"/>
  <c r="AI40" i="18"/>
  <c r="AA40" i="18"/>
  <c r="AB40" i="18" s="1"/>
  <c r="W40" i="18"/>
  <c r="AS40" i="18"/>
  <c r="AO40" i="18"/>
  <c r="AG40" i="18"/>
  <c r="AC40" i="18"/>
  <c r="Q40" i="18"/>
  <c r="M40" i="18"/>
  <c r="AV40" i="18"/>
  <c r="AR40" i="18"/>
  <c r="AJ40" i="18"/>
  <c r="T40" i="18"/>
  <c r="AF40" i="18"/>
  <c r="X40" i="18"/>
  <c r="AL40" i="18"/>
  <c r="AM40" i="18" s="1"/>
  <c r="AD40" i="18"/>
  <c r="N40" i="18"/>
  <c r="O40" i="18" s="1"/>
  <c r="P40" i="18" s="1"/>
  <c r="AP40" i="18"/>
  <c r="N17" i="18"/>
  <c r="O17" i="18" s="1"/>
  <c r="P17" i="18" s="1"/>
  <c r="V17" i="18"/>
  <c r="Z17" i="18"/>
  <c r="AD17" i="18"/>
  <c r="AE17" i="18" s="1"/>
  <c r="AH17" i="18"/>
  <c r="AL17" i="18"/>
  <c r="AP17" i="18" s="1"/>
  <c r="AQ17" i="18" s="1"/>
  <c r="M18" i="18"/>
  <c r="Q18" i="18"/>
  <c r="U18" i="18"/>
  <c r="AC18" i="18"/>
  <c r="AG18" i="18" s="1"/>
  <c r="AO18" i="18"/>
  <c r="AS18" i="18"/>
  <c r="P19" i="18"/>
  <c r="AN19" i="18"/>
  <c r="AR19" i="18"/>
  <c r="N21" i="18"/>
  <c r="O21" i="18" s="1"/>
  <c r="P21" i="18" s="1"/>
  <c r="V21" i="18"/>
  <c r="Z21" i="18"/>
  <c r="AD21" i="18"/>
  <c r="AE21" i="18" s="1"/>
  <c r="AH21" i="18"/>
  <c r="AL21" i="18"/>
  <c r="AP21" i="18" s="1"/>
  <c r="AQ21" i="18" s="1"/>
  <c r="M22" i="18"/>
  <c r="AW22" i="18" s="1"/>
  <c r="Q22" i="18"/>
  <c r="R22" i="18" s="1"/>
  <c r="AC22" i="18"/>
  <c r="AG22" i="18"/>
  <c r="AO22" i="18"/>
  <c r="AS22" i="18"/>
  <c r="P23" i="18"/>
  <c r="T23" i="18"/>
  <c r="X23" i="18" s="1"/>
  <c r="Y23" i="18" s="1"/>
  <c r="AB23" i="18"/>
  <c r="AF23" i="18"/>
  <c r="AJ23" i="18"/>
  <c r="AK23" i="18" s="1"/>
  <c r="AN23" i="18"/>
  <c r="AR23" i="18"/>
  <c r="N25" i="18"/>
  <c r="O25" i="18" s="1"/>
  <c r="V25" i="18"/>
  <c r="Z25" i="18"/>
  <c r="AA25" i="18" s="1"/>
  <c r="AB25" i="18" s="1"/>
  <c r="AD25" i="18"/>
  <c r="AE25" i="18" s="1"/>
  <c r="AH25" i="18"/>
  <c r="AL25" i="18"/>
  <c r="AP25" i="18"/>
  <c r="M26" i="18"/>
  <c r="Q26" i="18"/>
  <c r="R26" i="18" s="1"/>
  <c r="U26" i="18"/>
  <c r="AC26" i="18"/>
  <c r="AG26" i="18"/>
  <c r="AO26" i="18"/>
  <c r="AS26" i="18"/>
  <c r="P27" i="18"/>
  <c r="T27" i="18"/>
  <c r="U27" i="18" s="1"/>
  <c r="V27" i="18" s="1"/>
  <c r="X27" i="18"/>
  <c r="Y27" i="18" s="1"/>
  <c r="AB27" i="18"/>
  <c r="AF27" i="18"/>
  <c r="AG27" i="18" s="1"/>
  <c r="AH27" i="18" s="1"/>
  <c r="AJ27" i="18"/>
  <c r="AK27" i="18" s="1"/>
  <c r="AN27" i="18"/>
  <c r="AR27" i="18"/>
  <c r="N30" i="18"/>
  <c r="R30" i="18" s="1"/>
  <c r="S30" i="18" s="1"/>
  <c r="Z30" i="18"/>
  <c r="AD30" i="18" s="1"/>
  <c r="AE30" i="18" s="1"/>
  <c r="AH30" i="18"/>
  <c r="AL30" i="18"/>
  <c r="AP30" i="18"/>
  <c r="M31" i="18"/>
  <c r="AE31" i="18" s="1"/>
  <c r="Q31" i="18"/>
  <c r="U31" i="18" s="1"/>
  <c r="Y31" i="18"/>
  <c r="AC31" i="18"/>
  <c r="AG31" i="18"/>
  <c r="AO31" i="18"/>
  <c r="AS31" i="18"/>
  <c r="M32" i="18"/>
  <c r="Q32" i="18"/>
  <c r="Y32" i="18"/>
  <c r="AE32" i="18"/>
  <c r="AU32" i="18"/>
  <c r="AL37" i="18"/>
  <c r="AT38" i="18"/>
  <c r="R40" i="18"/>
  <c r="W34" i="18"/>
  <c r="AA34" i="18"/>
  <c r="AB34" i="18" s="1"/>
  <c r="AE34" i="18"/>
  <c r="AI34" i="18"/>
  <c r="AM34" i="18"/>
  <c r="AQ34" i="18"/>
  <c r="AU34" i="18"/>
  <c r="N35" i="18"/>
  <c r="O35" i="18" s="1"/>
  <c r="Z35" i="18"/>
  <c r="AD35" i="18"/>
  <c r="AE35" i="18" s="1"/>
  <c r="AL35" i="18"/>
  <c r="AP35" i="18"/>
  <c r="M36" i="18"/>
  <c r="AN36" i="18" s="1"/>
  <c r="Q36" i="18"/>
  <c r="AC36" i="18"/>
  <c r="AG36" i="18"/>
  <c r="AO36" i="18"/>
  <c r="AS36" i="18"/>
  <c r="W38" i="18"/>
  <c r="AA38" i="18"/>
  <c r="AB38" i="18" s="1"/>
  <c r="AI38" i="18"/>
  <c r="AM38" i="18"/>
  <c r="AN38" i="18" s="1"/>
  <c r="AQ38" i="18"/>
  <c r="AU38" i="18"/>
  <c r="AT45" i="18"/>
  <c r="AQ47" i="18"/>
  <c r="T34" i="18"/>
  <c r="U34" i="18" s="1"/>
  <c r="X34" i="18"/>
  <c r="Y34" i="18" s="1"/>
  <c r="AF34" i="18"/>
  <c r="AN34" i="18"/>
  <c r="AR34" i="18"/>
  <c r="AV34" i="18"/>
  <c r="AW34" i="18" s="1"/>
  <c r="W35" i="18"/>
  <c r="AA35" i="18"/>
  <c r="AI35" i="18"/>
  <c r="AU35" i="18"/>
  <c r="N36" i="18"/>
  <c r="O36" i="18" s="1"/>
  <c r="P36" i="18" s="1"/>
  <c r="Z36" i="18"/>
  <c r="AD36" i="18"/>
  <c r="AL36" i="18"/>
  <c r="AM36" i="18" s="1"/>
  <c r="AP36" i="18"/>
  <c r="T38" i="18"/>
  <c r="AF38" i="18"/>
  <c r="AJ38" i="18"/>
  <c r="AK38" i="18" s="1"/>
  <c r="AR38" i="18"/>
  <c r="AV38" i="18"/>
  <c r="AW38" i="18" s="1"/>
  <c r="AU44" i="18"/>
  <c r="AM44" i="18"/>
  <c r="AI44" i="18"/>
  <c r="AA44" i="18"/>
  <c r="W44" i="18"/>
  <c r="AS44" i="18"/>
  <c r="AO44" i="18"/>
  <c r="AP44" i="18" s="1"/>
  <c r="AG44" i="18"/>
  <c r="AC44" i="18"/>
  <c r="Q44" i="18"/>
  <c r="R44" i="18" s="1"/>
  <c r="M44" i="18"/>
  <c r="AV44" i="18"/>
  <c r="AR44" i="18"/>
  <c r="AJ44" i="18"/>
  <c r="AF44" i="18"/>
  <c r="X44" i="18"/>
  <c r="T44" i="18"/>
  <c r="U44" i="18" s="1"/>
  <c r="Z44" i="18"/>
  <c r="AQ45" i="18"/>
  <c r="N34" i="18"/>
  <c r="V34" i="18"/>
  <c r="Z34" i="18"/>
  <c r="AD34" i="18"/>
  <c r="AH34" i="18"/>
  <c r="AL34" i="18"/>
  <c r="AP34" i="18"/>
  <c r="M35" i="18"/>
  <c r="Q35" i="18"/>
  <c r="R35" i="18" s="1"/>
  <c r="AC35" i="18"/>
  <c r="AG35" i="18"/>
  <c r="AK35" i="18"/>
  <c r="AO35" i="18"/>
  <c r="AS35" i="18"/>
  <c r="AT35" i="18" s="1"/>
  <c r="T36" i="18"/>
  <c r="U36" i="18" s="1"/>
  <c r="X36" i="18"/>
  <c r="AF36" i="18"/>
  <c r="AJ36" i="18"/>
  <c r="AR36" i="18"/>
  <c r="N38" i="18"/>
  <c r="R38" i="18" s="1"/>
  <c r="S38" i="18" s="1"/>
  <c r="Z38" i="18"/>
  <c r="AD38" i="18"/>
  <c r="AE38" i="18" s="1"/>
  <c r="AH38" i="18"/>
  <c r="AL38" i="18"/>
  <c r="AP38" i="18"/>
  <c r="AQ41" i="18"/>
  <c r="N42" i="18"/>
  <c r="O42" i="18" s="1"/>
  <c r="R42" i="18"/>
  <c r="Z42" i="18"/>
  <c r="AD42" i="18"/>
  <c r="AH42" i="18"/>
  <c r="AL42" i="18"/>
  <c r="AP42" i="18"/>
  <c r="Y43" i="18"/>
  <c r="AK43" i="18"/>
  <c r="AU46" i="18"/>
  <c r="AM46" i="18"/>
  <c r="AI46" i="18"/>
  <c r="AA46" i="18"/>
  <c r="W46" i="18"/>
  <c r="X46" i="18" s="1"/>
  <c r="N46" i="18"/>
  <c r="O46" i="18" s="1"/>
  <c r="AG46" i="18"/>
  <c r="AL46" i="18"/>
  <c r="AR46" i="18"/>
  <c r="AS46" i="18" s="1"/>
  <c r="AW47" i="18"/>
  <c r="N39" i="18"/>
  <c r="R39" i="18" s="1"/>
  <c r="S39" i="18" s="1"/>
  <c r="Z39" i="18"/>
  <c r="AD39" i="18" s="1"/>
  <c r="AE39" i="18" s="1"/>
  <c r="AH39" i="18"/>
  <c r="AL39" i="18"/>
  <c r="AP39" i="18"/>
  <c r="AT39" i="18"/>
  <c r="T41" i="18"/>
  <c r="U41" i="18" s="1"/>
  <c r="X41" i="18"/>
  <c r="Y41" i="18" s="1"/>
  <c r="AB41" i="18"/>
  <c r="AF41" i="18"/>
  <c r="AJ41" i="18" s="1"/>
  <c r="AK41" i="18" s="1"/>
  <c r="AN41" i="18"/>
  <c r="AR41" i="18"/>
  <c r="AV41" i="18"/>
  <c r="AW41" i="18" s="1"/>
  <c r="W42" i="18"/>
  <c r="AA42" i="18"/>
  <c r="AI42" i="18"/>
  <c r="AJ42" i="18" s="1"/>
  <c r="AM42" i="18"/>
  <c r="AU42" i="18"/>
  <c r="N43" i="18"/>
  <c r="O43" i="18" s="1"/>
  <c r="Z43" i="18"/>
  <c r="AD43" i="18"/>
  <c r="AE43" i="18" s="1"/>
  <c r="AH43" i="18"/>
  <c r="AL43" i="18"/>
  <c r="AP43" i="18" s="1"/>
  <c r="AT43" i="18"/>
  <c r="T45" i="18"/>
  <c r="U45" i="18" s="1"/>
  <c r="V45" i="18" s="1"/>
  <c r="X45" i="18"/>
  <c r="Y45" i="18" s="1"/>
  <c r="AB45" i="18"/>
  <c r="AF45" i="18"/>
  <c r="AJ45" i="18"/>
  <c r="AK45" i="18" s="1"/>
  <c r="AN45" i="18"/>
  <c r="AR45" i="18"/>
  <c r="AV45" i="18"/>
  <c r="AW45" i="18" s="1"/>
  <c r="AC46" i="18"/>
  <c r="AH46" i="18"/>
  <c r="T39" i="18"/>
  <c r="X39" i="18"/>
  <c r="Y39" i="18" s="1"/>
  <c r="AB39" i="18"/>
  <c r="AF39" i="18"/>
  <c r="AJ39" i="18"/>
  <c r="AK39" i="18" s="1"/>
  <c r="AN39" i="18"/>
  <c r="AR39" i="18"/>
  <c r="N41" i="18"/>
  <c r="O41" i="18" s="1"/>
  <c r="P41" i="18" s="1"/>
  <c r="R41" i="18"/>
  <c r="S41" i="18" s="1"/>
  <c r="V41" i="18"/>
  <c r="Z41" i="18"/>
  <c r="AD41" i="18"/>
  <c r="AE41" i="18" s="1"/>
  <c r="AH41" i="18"/>
  <c r="AL41" i="18"/>
  <c r="AP41" i="18"/>
  <c r="M42" i="18"/>
  <c r="S42" i="18" s="1"/>
  <c r="Q42" i="18"/>
  <c r="U42" i="18" s="1"/>
  <c r="Y42" i="18"/>
  <c r="AC42" i="18"/>
  <c r="AG42" i="18"/>
  <c r="AO42" i="18"/>
  <c r="AS42" i="18"/>
  <c r="P43" i="18"/>
  <c r="T43" i="18"/>
  <c r="U43" i="18" s="1"/>
  <c r="V43" i="18" s="1"/>
  <c r="X43" i="18"/>
  <c r="AB43" i="18"/>
  <c r="AF43" i="18"/>
  <c r="AJ43" i="18"/>
  <c r="AN43" i="18"/>
  <c r="AR43" i="18"/>
  <c r="N45" i="18"/>
  <c r="O45" i="18" s="1"/>
  <c r="P45" i="18" s="1"/>
  <c r="Z45" i="18"/>
  <c r="AD45" i="18"/>
  <c r="AE45" i="18" s="1"/>
  <c r="AH45" i="18"/>
  <c r="AL45" i="18"/>
  <c r="AP45" i="18" s="1"/>
  <c r="M46" i="18"/>
  <c r="AN46" i="18" s="1"/>
  <c r="Q46" i="18"/>
  <c r="R46" i="18" s="1"/>
  <c r="U46" i="18"/>
  <c r="Z46" i="18"/>
  <c r="AF46" i="18"/>
  <c r="AK46" i="18"/>
  <c r="AP46" i="18"/>
  <c r="AK47" i="18"/>
  <c r="W49" i="18"/>
  <c r="AA49" i="18"/>
  <c r="AI49" i="18"/>
  <c r="AM49" i="18"/>
  <c r="AU49" i="18"/>
  <c r="N50" i="18"/>
  <c r="O50" i="18" s="1"/>
  <c r="P50" i="18" s="1"/>
  <c r="V50" i="18"/>
  <c r="Z50" i="18"/>
  <c r="AD50" i="18"/>
  <c r="AH50" i="18"/>
  <c r="AL50" i="18"/>
  <c r="AP50" i="18"/>
  <c r="AT50" i="18"/>
  <c r="M51" i="18"/>
  <c r="AW51" i="18" s="1"/>
  <c r="Q51" i="18"/>
  <c r="U51" i="18"/>
  <c r="AC51" i="18"/>
  <c r="AG51" i="18"/>
  <c r="AO51" i="18"/>
  <c r="AS51" i="18"/>
  <c r="T52" i="18"/>
  <c r="X52" i="18"/>
  <c r="AF52" i="18"/>
  <c r="AJ52" i="18"/>
  <c r="AK52" i="18" s="1"/>
  <c r="AR52" i="18"/>
  <c r="AV52" i="18"/>
  <c r="W53" i="18"/>
  <c r="AA53" i="18"/>
  <c r="AI53" i="18"/>
  <c r="AM53" i="18"/>
  <c r="AU53" i="18"/>
  <c r="N54" i="18"/>
  <c r="O54" i="18" s="1"/>
  <c r="P54" i="18" s="1"/>
  <c r="R54" i="18"/>
  <c r="Z54" i="18"/>
  <c r="AD54" i="18"/>
  <c r="AE54" i="18" s="1"/>
  <c r="AL54" i="18"/>
  <c r="AP54" i="18"/>
  <c r="N47" i="18"/>
  <c r="O47" i="18" s="1"/>
  <c r="P47" i="18" s="1"/>
  <c r="V47" i="18"/>
  <c r="Z47" i="18"/>
  <c r="AD47" i="18"/>
  <c r="AE47" i="18" s="1"/>
  <c r="AH47" i="18"/>
  <c r="AL47" i="18"/>
  <c r="AM47" i="18" s="1"/>
  <c r="AN47" i="18" s="1"/>
  <c r="AP47" i="18"/>
  <c r="M48" i="18"/>
  <c r="Q48" i="18"/>
  <c r="U48" i="18"/>
  <c r="AC48" i="18"/>
  <c r="AG48" i="18"/>
  <c r="AO48" i="18"/>
  <c r="AS48" i="18" s="1"/>
  <c r="AW48" i="18"/>
  <c r="T49" i="18"/>
  <c r="AF49" i="18"/>
  <c r="AJ49" i="18"/>
  <c r="AR49" i="18"/>
  <c r="AV49" i="18"/>
  <c r="W50" i="18"/>
  <c r="X50" i="18" s="1"/>
  <c r="AA50" i="18"/>
  <c r="AB50" i="18" s="1"/>
  <c r="AE50" i="18"/>
  <c r="AI50" i="18"/>
  <c r="AM50" i="18"/>
  <c r="AQ50" i="18"/>
  <c r="N51" i="18"/>
  <c r="O51" i="18" s="1"/>
  <c r="Z51" i="18"/>
  <c r="AA51" i="18" s="1"/>
  <c r="AD51" i="18"/>
  <c r="AH51" i="18"/>
  <c r="AL51" i="18"/>
  <c r="AP51" i="18"/>
  <c r="M52" i="18"/>
  <c r="AN52" i="18" s="1"/>
  <c r="Q52" i="18"/>
  <c r="AC52" i="18"/>
  <c r="AG52" i="18"/>
  <c r="AO52" i="18"/>
  <c r="AS52" i="18"/>
  <c r="P53" i="18"/>
  <c r="T53" i="18"/>
  <c r="X53" i="18"/>
  <c r="AF53" i="18"/>
  <c r="AJ53" i="18"/>
  <c r="AR53" i="18"/>
  <c r="AV53" i="18"/>
  <c r="S54" i="18"/>
  <c r="W54" i="18"/>
  <c r="AA54" i="18"/>
  <c r="AB54" i="18" s="1"/>
  <c r="AI54" i="18"/>
  <c r="AM54" i="18"/>
  <c r="AQ54" i="18"/>
  <c r="AU54" i="18"/>
  <c r="N48" i="18"/>
  <c r="O48" i="18" s="1"/>
  <c r="Z48" i="18"/>
  <c r="AD48" i="18"/>
  <c r="AL48" i="18"/>
  <c r="AP48" i="18"/>
  <c r="M49" i="18"/>
  <c r="AH49" i="18" s="1"/>
  <c r="Q49" i="18"/>
  <c r="U49" i="18"/>
  <c r="AC49" i="18"/>
  <c r="AG49" i="18"/>
  <c r="AO49" i="18"/>
  <c r="AN50" i="18"/>
  <c r="N52" i="18"/>
  <c r="O52" i="18" s="1"/>
  <c r="R52" i="18"/>
  <c r="Z52" i="18"/>
  <c r="AL52" i="18"/>
  <c r="AP52" i="18"/>
  <c r="M53" i="18"/>
  <c r="Q53" i="18"/>
  <c r="Y53" i="18"/>
  <c r="AC53" i="18"/>
  <c r="AO53" i="18"/>
  <c r="AS53" i="18"/>
  <c r="T54" i="18"/>
  <c r="U54" i="18" s="1"/>
  <c r="V54" i="18" s="1"/>
  <c r="X54" i="18"/>
  <c r="Y54" i="18" s="1"/>
  <c r="AF54" i="18"/>
  <c r="AJ54" i="18"/>
  <c r="AK54" i="18" s="1"/>
  <c r="AN54" i="18"/>
  <c r="AR54" i="18"/>
  <c r="AV54" i="18"/>
  <c r="AW54" i="18" s="1"/>
  <c r="N49" i="18"/>
  <c r="O49" i="18" s="1"/>
  <c r="Z49" i="18"/>
  <c r="AD49" i="18"/>
  <c r="AL49" i="18"/>
  <c r="AP49" i="18"/>
  <c r="Y50" i="18"/>
  <c r="AK50" i="18"/>
  <c r="N53" i="18"/>
  <c r="O53" i="18" s="1"/>
  <c r="R53" i="18"/>
  <c r="S53" i="18" s="1"/>
  <c r="Z53" i="18"/>
  <c r="AD53" i="18"/>
  <c r="AL53" i="18"/>
  <c r="AP53" i="18"/>
  <c r="AC54" i="18"/>
  <c r="AO54" i="18"/>
  <c r="AS54" i="18"/>
  <c r="AT54" i="18" s="1"/>
  <c r="N26" i="30" l="1"/>
  <c r="M26" i="30"/>
  <c r="N22" i="30"/>
  <c r="M22" i="30"/>
  <c r="AE53" i="18"/>
  <c r="V51" i="18"/>
  <c r="V36" i="18"/>
  <c r="AT36" i="18"/>
  <c r="V26" i="18"/>
  <c r="AP32" i="18"/>
  <c r="AE16" i="18"/>
  <c r="S12" i="18"/>
  <c r="Y6" i="18"/>
  <c r="AN14" i="18"/>
  <c r="AT12" i="18"/>
  <c r="S20" i="18"/>
  <c r="AQ20" i="18"/>
  <c r="V12" i="18"/>
  <c r="U16" i="18"/>
  <c r="V16" i="18" s="1"/>
  <c r="K6" i="23"/>
  <c r="L6" i="23" s="1"/>
  <c r="K6" i="24"/>
  <c r="L6" i="24" s="1"/>
  <c r="N38" i="30"/>
  <c r="M38" i="30"/>
  <c r="N17" i="30"/>
  <c r="M17" i="30"/>
  <c r="N33" i="30"/>
  <c r="M33" i="30"/>
  <c r="N23" i="30"/>
  <c r="M23" i="30"/>
  <c r="N47" i="30"/>
  <c r="M47" i="30"/>
  <c r="N35" i="30"/>
  <c r="M35" i="30"/>
  <c r="N10" i="30"/>
  <c r="M10" i="30"/>
  <c r="N18" i="30"/>
  <c r="M18" i="30"/>
  <c r="M35" i="31"/>
  <c r="N51" i="30"/>
  <c r="M51" i="30"/>
  <c r="AB19" i="18"/>
  <c r="K19" i="18" s="1"/>
  <c r="L19" i="18" s="1"/>
  <c r="R50" i="18"/>
  <c r="S50" i="18" s="1"/>
  <c r="AK36" i="18"/>
  <c r="N28" i="30"/>
  <c r="M28" i="30"/>
  <c r="N15" i="30"/>
  <c r="M15" i="30"/>
  <c r="N45" i="30"/>
  <c r="M45" i="30"/>
  <c r="N36" i="30"/>
  <c r="M36" i="30"/>
  <c r="N37" i="30"/>
  <c r="M37" i="30"/>
  <c r="N32" i="30"/>
  <c r="M32" i="30"/>
  <c r="N41" i="30"/>
  <c r="M41" i="30"/>
  <c r="N8" i="30"/>
  <c r="M8" i="30"/>
  <c r="N20" i="30"/>
  <c r="M20" i="30"/>
  <c r="N46" i="30"/>
  <c r="M46" i="30"/>
  <c r="N21" i="30"/>
  <c r="M21" i="30"/>
  <c r="N13" i="30"/>
  <c r="M13" i="30"/>
  <c r="AJ7" i="18"/>
  <c r="AK7" i="18" s="1"/>
  <c r="K7" i="18" s="1"/>
  <c r="L7" i="18" s="1"/>
  <c r="N12" i="30"/>
  <c r="M12" i="30"/>
  <c r="Y51" i="18"/>
  <c r="R43" i="18"/>
  <c r="S43" i="18" s="1"/>
  <c r="AH36" i="18"/>
  <c r="U37" i="18"/>
  <c r="V37" i="18" s="1"/>
  <c r="X24" i="18"/>
  <c r="AH12" i="18"/>
  <c r="AH16" i="18"/>
  <c r="AW12" i="18"/>
  <c r="K21" i="23"/>
  <c r="L21" i="23" s="1"/>
  <c r="K14" i="23"/>
  <c r="L14" i="23" s="1"/>
  <c r="K26" i="23"/>
  <c r="L26" i="23" s="1"/>
  <c r="K13" i="24"/>
  <c r="L13" i="24" s="1"/>
  <c r="K25" i="24"/>
  <c r="L25" i="24" s="1"/>
  <c r="K9" i="24"/>
  <c r="L9" i="24" s="1"/>
  <c r="N14" i="30"/>
  <c r="M14" i="30"/>
  <c r="N40" i="30"/>
  <c r="M40" i="30"/>
  <c r="N53" i="30"/>
  <c r="M53" i="30"/>
  <c r="N19" i="30"/>
  <c r="M19" i="30"/>
  <c r="N39" i="30"/>
  <c r="M39" i="30"/>
  <c r="N49" i="30"/>
  <c r="M49" i="30"/>
  <c r="N42" i="30"/>
  <c r="M42" i="30"/>
  <c r="N52" i="30"/>
  <c r="M52" i="30"/>
  <c r="N11" i="30"/>
  <c r="M11" i="30"/>
  <c r="AW50" i="18"/>
  <c r="AH52" i="18"/>
  <c r="AG53" i="18"/>
  <c r="AW52" i="18"/>
  <c r="AK51" i="18"/>
  <c r="AT53" i="18"/>
  <c r="AQ42" i="18"/>
  <c r="R47" i="18"/>
  <c r="S47" i="18" s="1"/>
  <c r="Y36" i="18"/>
  <c r="AH35" i="18"/>
  <c r="AT44" i="18"/>
  <c r="AW36" i="18"/>
  <c r="R32" i="18"/>
  <c r="S32" i="18" s="1"/>
  <c r="AK31" i="18"/>
  <c r="Y22" i="18"/>
  <c r="R18" i="18"/>
  <c r="U40" i="18"/>
  <c r="V40" i="18" s="1"/>
  <c r="AE40" i="18"/>
  <c r="AT37" i="18"/>
  <c r="AG33" i="18"/>
  <c r="AH33" i="18" s="1"/>
  <c r="AK14" i="18"/>
  <c r="R14" i="18"/>
  <c r="S14" i="18" s="1"/>
  <c r="AQ12" i="18"/>
  <c r="Y10" i="18"/>
  <c r="P14" i="18"/>
  <c r="AT16" i="18"/>
  <c r="Y28" i="18"/>
  <c r="AN20" i="18"/>
  <c r="Y12" i="18"/>
  <c r="AW8" i="18"/>
  <c r="K10" i="23"/>
  <c r="L10" i="23" s="1"/>
  <c r="K23" i="23"/>
  <c r="L23" i="23" s="1"/>
  <c r="K9" i="23"/>
  <c r="L9" i="23" s="1"/>
  <c r="K50" i="24"/>
  <c r="L50" i="24" s="1"/>
  <c r="N6" i="30"/>
  <c r="M6" i="30"/>
  <c r="N27" i="30"/>
  <c r="M27" i="30"/>
  <c r="N34" i="30"/>
  <c r="M34" i="30"/>
  <c r="N16" i="30"/>
  <c r="M16" i="30"/>
  <c r="N50" i="30"/>
  <c r="M50" i="30"/>
  <c r="N44" i="30"/>
  <c r="M44" i="30"/>
  <c r="N9" i="30"/>
  <c r="M9" i="30"/>
  <c r="N43" i="30"/>
  <c r="M43" i="30"/>
  <c r="N7" i="30"/>
  <c r="M7" i="30"/>
  <c r="P41" i="31"/>
  <c r="P35" i="31"/>
  <c r="P7" i="31"/>
  <c r="M7" i="31"/>
  <c r="M6" i="31"/>
  <c r="P6" i="31"/>
  <c r="P46" i="31"/>
  <c r="M46" i="31"/>
  <c r="M38" i="31"/>
  <c r="P38" i="31"/>
  <c r="M16" i="31"/>
  <c r="P16" i="31"/>
  <c r="P24" i="31"/>
  <c r="M24" i="31"/>
  <c r="M10" i="31"/>
  <c r="P10" i="31"/>
  <c r="P42" i="31"/>
  <c r="M42" i="31"/>
  <c r="M33" i="31"/>
  <c r="P33" i="31"/>
  <c r="M36" i="31"/>
  <c r="P36" i="31"/>
  <c r="M12" i="31"/>
  <c r="P12" i="31"/>
  <c r="P9" i="31"/>
  <c r="M9" i="31"/>
  <c r="P25" i="31"/>
  <c r="M25" i="31"/>
  <c r="M22" i="31"/>
  <c r="P22" i="31"/>
  <c r="P49" i="31"/>
  <c r="M49" i="31"/>
  <c r="M8" i="31"/>
  <c r="P8" i="31"/>
  <c r="M20" i="31"/>
  <c r="P20" i="31"/>
  <c r="M14" i="31"/>
  <c r="P14" i="31"/>
  <c r="M18" i="31"/>
  <c r="P18" i="31"/>
  <c r="P40" i="31"/>
  <c r="M40" i="31"/>
  <c r="P47" i="31"/>
  <c r="M47" i="31"/>
  <c r="P44" i="31"/>
  <c r="M44" i="31"/>
  <c r="P30" i="31"/>
  <c r="M30" i="31"/>
  <c r="P51" i="31"/>
  <c r="M51" i="31"/>
  <c r="M34" i="31"/>
  <c r="P34" i="31"/>
  <c r="M32" i="31"/>
  <c r="P32" i="31"/>
  <c r="K6" i="29"/>
  <c r="M6" i="29" s="1"/>
  <c r="K35" i="23"/>
  <c r="L35" i="23" s="1"/>
  <c r="K43" i="23"/>
  <c r="L43" i="23" s="1"/>
  <c r="K49" i="23"/>
  <c r="L49" i="23" s="1"/>
  <c r="K48" i="24"/>
  <c r="L48" i="24" s="1"/>
  <c r="K41" i="24"/>
  <c r="L41" i="24" s="1"/>
  <c r="K35" i="24"/>
  <c r="L35" i="24" s="1"/>
  <c r="K43" i="24"/>
  <c r="L43" i="24" s="1"/>
  <c r="K54" i="24"/>
  <c r="L54" i="24" s="1"/>
  <c r="K31" i="24"/>
  <c r="L31" i="24" s="1"/>
  <c r="K34" i="24"/>
  <c r="L34" i="24" s="1"/>
  <c r="K44" i="24"/>
  <c r="L44" i="24" s="1"/>
  <c r="K40" i="24"/>
  <c r="L40" i="24" s="1"/>
  <c r="K52" i="24"/>
  <c r="L52" i="24" s="1"/>
  <c r="K37" i="24"/>
  <c r="L37" i="24" s="1"/>
  <c r="K33" i="24"/>
  <c r="L33" i="24" s="1"/>
  <c r="K39" i="24"/>
  <c r="L39" i="24" s="1"/>
  <c r="K45" i="24"/>
  <c r="L45" i="24" s="1"/>
  <c r="K17" i="24"/>
  <c r="L17" i="24" s="1"/>
  <c r="K38" i="24"/>
  <c r="L38" i="24" s="1"/>
  <c r="K21" i="24"/>
  <c r="L21" i="24" s="1"/>
  <c r="K19" i="24"/>
  <c r="L19" i="24" s="1"/>
  <c r="K18" i="24"/>
  <c r="L18" i="24" s="1"/>
  <c r="K36" i="24"/>
  <c r="L36" i="24" s="1"/>
  <c r="K51" i="24"/>
  <c r="L51" i="24" s="1"/>
  <c r="K47" i="24"/>
  <c r="L47" i="24" s="1"/>
  <c r="K23" i="24"/>
  <c r="L23" i="24" s="1"/>
  <c r="K14" i="24"/>
  <c r="L14" i="24" s="1"/>
  <c r="K30" i="24"/>
  <c r="L30" i="24" s="1"/>
  <c r="K32" i="23"/>
  <c r="L32" i="23" s="1"/>
  <c r="K34" i="23"/>
  <c r="L34" i="23" s="1"/>
  <c r="K48" i="23"/>
  <c r="L48" i="23" s="1"/>
  <c r="K46" i="23"/>
  <c r="L46" i="23" s="1"/>
  <c r="K38" i="23"/>
  <c r="L38" i="23" s="1"/>
  <c r="K45" i="23"/>
  <c r="L45" i="23" s="1"/>
  <c r="K30" i="23"/>
  <c r="L30" i="23" s="1"/>
  <c r="K36" i="23"/>
  <c r="L36" i="23" s="1"/>
  <c r="K52" i="23"/>
  <c r="L52" i="23" s="1"/>
  <c r="K42" i="23"/>
  <c r="L42" i="23" s="1"/>
  <c r="K47" i="23"/>
  <c r="L47" i="23" s="1"/>
  <c r="K37" i="23"/>
  <c r="L37" i="23" s="1"/>
  <c r="K39" i="23"/>
  <c r="L39" i="23" s="1"/>
  <c r="K41" i="23"/>
  <c r="L41" i="23" s="1"/>
  <c r="K33" i="23"/>
  <c r="L33" i="23" s="1"/>
  <c r="K7" i="23"/>
  <c r="L7" i="23" s="1"/>
  <c r="K25" i="23"/>
  <c r="L25" i="23" s="1"/>
  <c r="K16" i="23"/>
  <c r="L16" i="23" s="1"/>
  <c r="K22" i="23"/>
  <c r="L22" i="23" s="1"/>
  <c r="K51" i="23"/>
  <c r="L51" i="23" s="1"/>
  <c r="K40" i="23"/>
  <c r="L40" i="23" s="1"/>
  <c r="K44" i="23"/>
  <c r="L44" i="23" s="1"/>
  <c r="K47" i="18"/>
  <c r="L47" i="18" s="1"/>
  <c r="K41" i="18"/>
  <c r="L41" i="18" s="1"/>
  <c r="AH18" i="18"/>
  <c r="AQ48" i="18"/>
  <c r="AE48" i="18"/>
  <c r="AB48" i="18"/>
  <c r="AN48" i="18"/>
  <c r="P48" i="18"/>
  <c r="AG54" i="18"/>
  <c r="AH54" i="18" s="1"/>
  <c r="K54" i="18" s="1"/>
  <c r="L54" i="18" s="1"/>
  <c r="AK53" i="18"/>
  <c r="AB53" i="18"/>
  <c r="AS49" i="18"/>
  <c r="AT49" i="18" s="1"/>
  <c r="AH53" i="18"/>
  <c r="AW53" i="18"/>
  <c r="AK49" i="18"/>
  <c r="V48" i="18"/>
  <c r="AN53" i="18"/>
  <c r="AD52" i="18"/>
  <c r="AN49" i="18"/>
  <c r="AK48" i="18"/>
  <c r="AQ53" i="18"/>
  <c r="AB52" i="18"/>
  <c r="R51" i="18"/>
  <c r="X49" i="18"/>
  <c r="Y49" i="18" s="1"/>
  <c r="AK42" i="18"/>
  <c r="S46" i="18"/>
  <c r="AT52" i="18"/>
  <c r="V46" i="18"/>
  <c r="AE46" i="18"/>
  <c r="AV46" i="18"/>
  <c r="AW46" i="18" s="1"/>
  <c r="AB36" i="18"/>
  <c r="AB44" i="18"/>
  <c r="Y44" i="18"/>
  <c r="AQ35" i="18"/>
  <c r="R36" i="18"/>
  <c r="AM35" i="18"/>
  <c r="AN35" i="18" s="1"/>
  <c r="AQ32" i="18"/>
  <c r="P32" i="18"/>
  <c r="AB31" i="18"/>
  <c r="P31" i="18"/>
  <c r="Y26" i="18"/>
  <c r="AK22" i="18"/>
  <c r="AK40" i="18"/>
  <c r="S40" i="18"/>
  <c r="AN33" i="18"/>
  <c r="AQ31" i="18"/>
  <c r="AE26" i="18"/>
  <c r="AQ22" i="18"/>
  <c r="AE18" i="18"/>
  <c r="AB37" i="18"/>
  <c r="Y37" i="18"/>
  <c r="AP37" i="18"/>
  <c r="AT32" i="18"/>
  <c r="AN32" i="18"/>
  <c r="AT26" i="18"/>
  <c r="AH22" i="18"/>
  <c r="V18" i="18"/>
  <c r="AB24" i="18"/>
  <c r="AK24" i="18"/>
  <c r="P25" i="18"/>
  <c r="AE24" i="18"/>
  <c r="U9" i="18"/>
  <c r="V9" i="18" s="1"/>
  <c r="O9" i="18"/>
  <c r="P9" i="18" s="1"/>
  <c r="K9" i="18" s="1"/>
  <c r="L9" i="18" s="1"/>
  <c r="AK6" i="18"/>
  <c r="AN10" i="18"/>
  <c r="AT10" i="18"/>
  <c r="AH28" i="18"/>
  <c r="AE28" i="18"/>
  <c r="AV28" i="18"/>
  <c r="AW28" i="18" s="1"/>
  <c r="AH14" i="18"/>
  <c r="AH40" i="18"/>
  <c r="V28" i="18"/>
  <c r="U20" i="18"/>
  <c r="AH20" i="18"/>
  <c r="AT20" i="18"/>
  <c r="V20" i="18"/>
  <c r="AW20" i="18"/>
  <c r="AE20" i="18"/>
  <c r="AE14" i="18"/>
  <c r="AE6" i="18"/>
  <c r="R17" i="18"/>
  <c r="S17" i="18" s="1"/>
  <c r="K17" i="18" s="1"/>
  <c r="L17" i="18" s="1"/>
  <c r="Y16" i="18"/>
  <c r="AT14" i="18"/>
  <c r="U6" i="18"/>
  <c r="V6" i="18" s="1"/>
  <c r="O6" i="18"/>
  <c r="P6" i="18" s="1"/>
  <c r="R15" i="18"/>
  <c r="S15" i="18" s="1"/>
  <c r="K15" i="18" s="1"/>
  <c r="L15" i="18" s="1"/>
  <c r="AW49" i="18"/>
  <c r="V49" i="18"/>
  <c r="K50" i="18"/>
  <c r="L50" i="18" s="1"/>
  <c r="R49" i="18"/>
  <c r="AH48" i="18"/>
  <c r="U53" i="18"/>
  <c r="V53" i="18" s="1"/>
  <c r="Y52" i="18"/>
  <c r="P49" i="18"/>
  <c r="R48" i="18"/>
  <c r="S48" i="18" s="1"/>
  <c r="AN51" i="18"/>
  <c r="AB51" i="18"/>
  <c r="P51" i="18"/>
  <c r="AQ51" i="18"/>
  <c r="AE51" i="18"/>
  <c r="S51" i="18"/>
  <c r="S49" i="18"/>
  <c r="AN42" i="18"/>
  <c r="P42" i="18"/>
  <c r="AB42" i="18"/>
  <c r="AE42" i="18"/>
  <c r="AT51" i="18"/>
  <c r="V42" i="18"/>
  <c r="AH44" i="18"/>
  <c r="Y35" i="18"/>
  <c r="P44" i="18"/>
  <c r="AQ44" i="18"/>
  <c r="S35" i="18"/>
  <c r="V44" i="18"/>
  <c r="S36" i="18"/>
  <c r="AE36" i="18"/>
  <c r="AQ36" i="18"/>
  <c r="K36" i="18" s="1"/>
  <c r="L36" i="18" s="1"/>
  <c r="AJ34" i="18"/>
  <c r="AK34" i="18" s="1"/>
  <c r="AK26" i="18"/>
  <c r="P22" i="18"/>
  <c r="AB22" i="18"/>
  <c r="AK18" i="18"/>
  <c r="AT40" i="18"/>
  <c r="AN40" i="18"/>
  <c r="Y40" i="18"/>
  <c r="AQ40" i="18"/>
  <c r="AB33" i="18"/>
  <c r="Y33" i="18"/>
  <c r="S31" i="18"/>
  <c r="AQ26" i="18"/>
  <c r="S22" i="18"/>
  <c r="AQ18" i="18"/>
  <c r="P37" i="18"/>
  <c r="AQ37" i="18"/>
  <c r="AW32" i="18"/>
  <c r="AB32" i="18"/>
  <c r="AM31" i="18"/>
  <c r="AN31" i="18" s="1"/>
  <c r="V31" i="18"/>
  <c r="AQ43" i="18"/>
  <c r="K43" i="18" s="1"/>
  <c r="L43" i="18" s="1"/>
  <c r="AQ27" i="18"/>
  <c r="K27" i="18" s="1"/>
  <c r="L27" i="18" s="1"/>
  <c r="AA26" i="18"/>
  <c r="AB26" i="18" s="1"/>
  <c r="AQ25" i="18"/>
  <c r="AT22" i="18"/>
  <c r="Y24" i="18"/>
  <c r="S24" i="18"/>
  <c r="AB14" i="18"/>
  <c r="AN6" i="18"/>
  <c r="AQ14" i="18"/>
  <c r="AN12" i="18"/>
  <c r="AB12" i="18"/>
  <c r="P12" i="18"/>
  <c r="S10" i="18"/>
  <c r="AQ6" i="18"/>
  <c r="AT6" i="18" s="1"/>
  <c r="AW26" i="18"/>
  <c r="AB16" i="18"/>
  <c r="AQ16" i="18"/>
  <c r="AW14" i="18"/>
  <c r="R9" i="18"/>
  <c r="S9" i="18" s="1"/>
  <c r="U52" i="18"/>
  <c r="V52" i="18" s="1"/>
  <c r="AE49" i="18"/>
  <c r="R34" i="18"/>
  <c r="S34" i="18" s="1"/>
  <c r="O34" i="18"/>
  <c r="P34" i="18" s="1"/>
  <c r="AW44" i="18"/>
  <c r="AE44" i="18"/>
  <c r="U35" i="18"/>
  <c r="V35" i="18" s="1"/>
  <c r="O30" i="18"/>
  <c r="P30" i="18" s="1"/>
  <c r="U30" i="18"/>
  <c r="V30" i="18" s="1"/>
  <c r="AB18" i="18"/>
  <c r="P18" i="18"/>
  <c r="AN18" i="18"/>
  <c r="R45" i="18"/>
  <c r="S45" i="18" s="1"/>
  <c r="K45" i="18" s="1"/>
  <c r="L45" i="18" s="1"/>
  <c r="S26" i="18"/>
  <c r="AE22" i="18"/>
  <c r="AW37" i="18"/>
  <c r="AE37" i="18"/>
  <c r="AK32" i="18"/>
  <c r="AH32" i="18"/>
  <c r="AH31" i="18"/>
  <c r="AT18" i="18"/>
  <c r="U32" i="18"/>
  <c r="V32" i="18" s="1"/>
  <c r="V24" i="18"/>
  <c r="AT24" i="18"/>
  <c r="U22" i="18"/>
  <c r="K11" i="18"/>
  <c r="L11" i="18" s="1"/>
  <c r="U14" i="18"/>
  <c r="V14" i="18" s="1"/>
  <c r="AB10" i="18"/>
  <c r="R21" i="18"/>
  <c r="S21" i="18" s="1"/>
  <c r="K21" i="18" s="1"/>
  <c r="L21" i="18" s="1"/>
  <c r="AG10" i="18"/>
  <c r="AH10" i="18" s="1"/>
  <c r="U10" i="18"/>
  <c r="V10" i="18" s="1"/>
  <c r="O10" i="18"/>
  <c r="P10" i="18" s="1"/>
  <c r="AE10" i="18"/>
  <c r="R8" i="18"/>
  <c r="S8" i="18" s="1"/>
  <c r="R25" i="18"/>
  <c r="S25" i="18" s="1"/>
  <c r="AW16" i="18"/>
  <c r="R13" i="18"/>
  <c r="S13" i="18" s="1"/>
  <c r="K13" i="18" s="1"/>
  <c r="L13" i="18" s="1"/>
  <c r="AW10" i="18"/>
  <c r="U8" i="18"/>
  <c r="V8" i="18" s="1"/>
  <c r="AQ52" i="18"/>
  <c r="AE52" i="18"/>
  <c r="S52" i="18"/>
  <c r="AB49" i="18"/>
  <c r="Y48" i="18"/>
  <c r="P52" i="18"/>
  <c r="AQ49" i="18"/>
  <c r="P46" i="18"/>
  <c r="AT46" i="18"/>
  <c r="Y46" i="18"/>
  <c r="O39" i="18"/>
  <c r="P39" i="18" s="1"/>
  <c r="U39" i="18"/>
  <c r="V39" i="18" s="1"/>
  <c r="AB46" i="18"/>
  <c r="AQ46" i="18"/>
  <c r="AT42" i="18"/>
  <c r="AW42" i="18"/>
  <c r="O38" i="18"/>
  <c r="P38" i="18" s="1"/>
  <c r="U38" i="18"/>
  <c r="V38" i="18" s="1"/>
  <c r="P35" i="18"/>
  <c r="AB35" i="18"/>
  <c r="AT48" i="18"/>
  <c r="AN44" i="18"/>
  <c r="AK44" i="18"/>
  <c r="S44" i="18"/>
  <c r="X38" i="18"/>
  <c r="Y38" i="18" s="1"/>
  <c r="P26" i="18"/>
  <c r="AN26" i="18"/>
  <c r="Y18" i="18"/>
  <c r="AW40" i="18"/>
  <c r="AT33" i="18"/>
  <c r="V33" i="18"/>
  <c r="AK33" i="18"/>
  <c r="S33" i="18"/>
  <c r="S18" i="18"/>
  <c r="AN37" i="18"/>
  <c r="R37" i="18"/>
  <c r="S37" i="18" s="1"/>
  <c r="AK37" i="18"/>
  <c r="AW35" i="18"/>
  <c r="AT31" i="18"/>
  <c r="AH26" i="18"/>
  <c r="AM22" i="18"/>
  <c r="AN22" i="18" s="1"/>
  <c r="V22" i="18"/>
  <c r="AW31" i="18"/>
  <c r="AN24" i="18"/>
  <c r="AW24" i="18"/>
  <c r="AQ24" i="18"/>
  <c r="AQ28" i="18"/>
  <c r="AW18" i="18"/>
  <c r="AM8" i="18"/>
  <c r="AN8" i="18" s="1"/>
  <c r="AB8" i="18"/>
  <c r="P8" i="18"/>
  <c r="R23" i="18"/>
  <c r="S23" i="18" s="1"/>
  <c r="K23" i="18" s="1"/>
  <c r="L23" i="18" s="1"/>
  <c r="AN16" i="18"/>
  <c r="AJ16" i="18"/>
  <c r="AK16" i="18" s="1"/>
  <c r="AA6" i="18"/>
  <c r="AB6" i="18" s="1"/>
  <c r="AO54" i="17"/>
  <c r="Y54" i="17"/>
  <c r="H54" i="17"/>
  <c r="AH54" i="17" s="1"/>
  <c r="F54" i="17"/>
  <c r="AO53" i="17"/>
  <c r="AH53" i="17"/>
  <c r="Y53" i="17"/>
  <c r="V53" i="17"/>
  <c r="N53" i="17"/>
  <c r="M53" i="17"/>
  <c r="L53" i="17"/>
  <c r="H53" i="17"/>
  <c r="AT53" i="17" s="1"/>
  <c r="F53" i="17"/>
  <c r="AF52" i="17"/>
  <c r="L52" i="17"/>
  <c r="H52" i="17"/>
  <c r="Q52" i="17" s="1"/>
  <c r="F52" i="17"/>
  <c r="AL51" i="17"/>
  <c r="AC51" i="17"/>
  <c r="Y51" i="17"/>
  <c r="T51" i="17"/>
  <c r="L51" i="17"/>
  <c r="H51" i="17"/>
  <c r="AO51" i="17" s="1"/>
  <c r="F51" i="17"/>
  <c r="Z50" i="17"/>
  <c r="V50" i="17"/>
  <c r="L50" i="17"/>
  <c r="H50" i="17"/>
  <c r="F50" i="17"/>
  <c r="AO49" i="17"/>
  <c r="AL49" i="17"/>
  <c r="AC49" i="17"/>
  <c r="Y49" i="17"/>
  <c r="T49" i="17"/>
  <c r="L49" i="17"/>
  <c r="H49" i="17"/>
  <c r="AN49" i="17" s="1"/>
  <c r="F49" i="17"/>
  <c r="P48" i="17"/>
  <c r="H48" i="17"/>
  <c r="AF48" i="17" s="1"/>
  <c r="F48" i="17"/>
  <c r="AO47" i="17"/>
  <c r="AH47" i="17"/>
  <c r="AB47" i="17"/>
  <c r="V47" i="17"/>
  <c r="L47" i="17"/>
  <c r="H47" i="17"/>
  <c r="AT47" i="17" s="1"/>
  <c r="F47" i="17"/>
  <c r="AK46" i="17"/>
  <c r="AB46" i="17"/>
  <c r="S46" i="17"/>
  <c r="L46" i="17"/>
  <c r="H46" i="17"/>
  <c r="AF46" i="17" s="1"/>
  <c r="AG46" i="17" s="1"/>
  <c r="F46" i="17"/>
  <c r="H45" i="17"/>
  <c r="AT45" i="17" s="1"/>
  <c r="F45" i="17"/>
  <c r="AR44" i="17"/>
  <c r="AF44" i="17"/>
  <c r="S44" i="17"/>
  <c r="L44" i="17"/>
  <c r="H44" i="17"/>
  <c r="AT44" i="17" s="1"/>
  <c r="F44" i="17"/>
  <c r="H43" i="17"/>
  <c r="F43" i="17"/>
  <c r="AB42" i="17"/>
  <c r="H42" i="17"/>
  <c r="AU42" i="17" s="1"/>
  <c r="F42" i="17"/>
  <c r="AT41" i="17"/>
  <c r="AQ41" i="17"/>
  <c r="AL41" i="17"/>
  <c r="AF41" i="17"/>
  <c r="W41" i="17"/>
  <c r="S41" i="17"/>
  <c r="L41" i="17"/>
  <c r="H41" i="17"/>
  <c r="AN41" i="17" s="1"/>
  <c r="F41" i="17"/>
  <c r="H40" i="17"/>
  <c r="AU40" i="17" s="1"/>
  <c r="F40" i="17"/>
  <c r="AQ39" i="17"/>
  <c r="V39" i="17"/>
  <c r="H39" i="17"/>
  <c r="AU39" i="17" s="1"/>
  <c r="F39" i="17"/>
  <c r="AR38" i="17"/>
  <c r="AN38" i="17"/>
  <c r="AH38" i="17"/>
  <c r="Z38" i="17"/>
  <c r="L38" i="17"/>
  <c r="H38" i="17"/>
  <c r="AU38" i="17" s="1"/>
  <c r="F38" i="17"/>
  <c r="AR37" i="17"/>
  <c r="AI37" i="17"/>
  <c r="P37" i="17"/>
  <c r="H37" i="17"/>
  <c r="AN37" i="17" s="1"/>
  <c r="F37" i="17"/>
  <c r="AU36" i="17"/>
  <c r="AB36" i="17"/>
  <c r="P36" i="17"/>
  <c r="H36" i="17"/>
  <c r="AH36" i="17" s="1"/>
  <c r="F36" i="17"/>
  <c r="H35" i="17"/>
  <c r="F35" i="17"/>
  <c r="H34" i="17"/>
  <c r="F34" i="17"/>
  <c r="H33" i="17"/>
  <c r="F33" i="17"/>
  <c r="AR32" i="17"/>
  <c r="AC32" i="17"/>
  <c r="M32" i="17"/>
  <c r="N32" i="17" s="1"/>
  <c r="H32" i="17"/>
  <c r="AT32" i="17" s="1"/>
  <c r="AN31" i="17"/>
  <c r="AE31" i="17"/>
  <c r="AB31" i="17"/>
  <c r="Q31" i="17"/>
  <c r="L31" i="17"/>
  <c r="H31" i="17"/>
  <c r="AT31" i="17" s="1"/>
  <c r="F31" i="17"/>
  <c r="AR30" i="17"/>
  <c r="AK30" i="17"/>
  <c r="AB30" i="17"/>
  <c r="S30" i="17"/>
  <c r="P30" i="17"/>
  <c r="L30" i="17"/>
  <c r="H30" i="17"/>
  <c r="AT30" i="17" s="1"/>
  <c r="F30" i="17"/>
  <c r="AQ28" i="17"/>
  <c r="AI28" i="17"/>
  <c r="AB28" i="17"/>
  <c r="S28" i="17"/>
  <c r="L28" i="17"/>
  <c r="H28" i="17"/>
  <c r="AT28" i="17" s="1"/>
  <c r="F28" i="17"/>
  <c r="AU27" i="17"/>
  <c r="AN27" i="17"/>
  <c r="AE27" i="17"/>
  <c r="AC27" i="17"/>
  <c r="W27" i="17"/>
  <c r="S27" i="17"/>
  <c r="O27" i="17"/>
  <c r="M27" i="17"/>
  <c r="N27" i="17" s="1"/>
  <c r="L27" i="17"/>
  <c r="H27" i="17"/>
  <c r="AT27" i="17" s="1"/>
  <c r="F27" i="17"/>
  <c r="AQ26" i="17"/>
  <c r="AI26" i="17"/>
  <c r="AB26" i="17"/>
  <c r="T26" i="17"/>
  <c r="U26" i="17" s="1"/>
  <c r="L26" i="17"/>
  <c r="H26" i="17"/>
  <c r="AT26" i="17" s="1"/>
  <c r="F26" i="17"/>
  <c r="AN25" i="17"/>
  <c r="AF25" i="17"/>
  <c r="Y25" i="17"/>
  <c r="P25" i="17"/>
  <c r="H25" i="17"/>
  <c r="AT25" i="17" s="1"/>
  <c r="F25" i="17"/>
  <c r="H24" i="17"/>
  <c r="AT24" i="17" s="1"/>
  <c r="F24" i="17"/>
  <c r="AQ23" i="17"/>
  <c r="AC23" i="17"/>
  <c r="S23" i="17"/>
  <c r="L23" i="17"/>
  <c r="H23" i="17"/>
  <c r="AT23" i="17" s="1"/>
  <c r="F23" i="17"/>
  <c r="H22" i="17"/>
  <c r="F22" i="17"/>
  <c r="H21" i="17"/>
  <c r="F21" i="17"/>
  <c r="AK20" i="17"/>
  <c r="V20" i="17"/>
  <c r="H20" i="17"/>
  <c r="AC20" i="17" s="1"/>
  <c r="F20" i="17"/>
  <c r="H19" i="17"/>
  <c r="Y19" i="17" s="1"/>
  <c r="F19" i="17"/>
  <c r="AO18" i="17"/>
  <c r="AC18" i="17"/>
  <c r="S18" i="17"/>
  <c r="H18" i="17"/>
  <c r="AT18" i="17" s="1"/>
  <c r="F18" i="17"/>
  <c r="H17" i="17"/>
  <c r="Y17" i="17" s="1"/>
  <c r="F17" i="17"/>
  <c r="AO16" i="17"/>
  <c r="Y16" i="17"/>
  <c r="Q16" i="17"/>
  <c r="H16" i="17"/>
  <c r="AT16" i="17" s="1"/>
  <c r="F16" i="17"/>
  <c r="AT15" i="17"/>
  <c r="S15" i="17"/>
  <c r="H15" i="17"/>
  <c r="AI15" i="17" s="1"/>
  <c r="F15" i="17"/>
  <c r="AQ14" i="17"/>
  <c r="AC14" i="17"/>
  <c r="S14" i="17"/>
  <c r="H14" i="17"/>
  <c r="AI14" i="17" s="1"/>
  <c r="F14" i="17"/>
  <c r="H13" i="17"/>
  <c r="Y13" i="17" s="1"/>
  <c r="F13" i="17"/>
  <c r="AO12" i="17"/>
  <c r="Y12" i="17"/>
  <c r="Q12" i="17"/>
  <c r="H12" i="17"/>
  <c r="AT12" i="17" s="1"/>
  <c r="F12" i="17"/>
  <c r="AT11" i="17"/>
  <c r="S11" i="17"/>
  <c r="H11" i="17"/>
  <c r="AI11" i="17" s="1"/>
  <c r="F11" i="17"/>
  <c r="AQ10" i="17"/>
  <c r="AH10" i="17"/>
  <c r="V10" i="17"/>
  <c r="H10" i="17"/>
  <c r="AL10" i="17" s="1"/>
  <c r="F10" i="17"/>
  <c r="Y9" i="17"/>
  <c r="H9" i="17"/>
  <c r="AO9" i="17" s="1"/>
  <c r="F9" i="17"/>
  <c r="H8" i="17"/>
  <c r="AO8" i="17" s="1"/>
  <c r="F8" i="17"/>
  <c r="Y7" i="17"/>
  <c r="H7" i="17"/>
  <c r="AT7" i="17" s="1"/>
  <c r="F7" i="17"/>
  <c r="H6" i="17"/>
  <c r="AU6" i="17" s="1"/>
  <c r="F6" i="17"/>
  <c r="AS51" i="17" l="1"/>
  <c r="AP50" i="17"/>
  <c r="AT8" i="17"/>
  <c r="AT13" i="17"/>
  <c r="AB24" i="17"/>
  <c r="AH40" i="17"/>
  <c r="AB6" i="17"/>
  <c r="P6" i="17"/>
  <c r="AC6" i="17"/>
  <c r="AO6" i="17"/>
  <c r="S7" i="17"/>
  <c r="S8" i="17"/>
  <c r="AC8" i="17"/>
  <c r="AQ8" i="17"/>
  <c r="S9" i="17"/>
  <c r="AT9" i="17"/>
  <c r="S10" i="17"/>
  <c r="AC10" i="17"/>
  <c r="AO10" i="17"/>
  <c r="AO11" i="17"/>
  <c r="M12" i="17"/>
  <c r="N12" i="17" s="1"/>
  <c r="W12" i="17"/>
  <c r="AI12" i="17"/>
  <c r="AI13" i="17"/>
  <c r="M14" i="17"/>
  <c r="N14" i="17" s="1"/>
  <c r="Y14" i="17"/>
  <c r="AL14" i="17"/>
  <c r="AO15" i="17"/>
  <c r="M16" i="17"/>
  <c r="N16" i="17" s="1"/>
  <c r="W16" i="17"/>
  <c r="AL16" i="17"/>
  <c r="AI17" i="17"/>
  <c r="M18" i="17"/>
  <c r="N18" i="17" s="1"/>
  <c r="Y18" i="17"/>
  <c r="AL18" i="17"/>
  <c r="AO19" i="17"/>
  <c r="M20" i="17"/>
  <c r="N20" i="17" s="1"/>
  <c r="AH20" i="17"/>
  <c r="AL20" i="17" s="1"/>
  <c r="P23" i="17"/>
  <c r="AB23" i="17"/>
  <c r="AI23" i="17"/>
  <c r="AJ23" i="17" s="1"/>
  <c r="AO23" i="17"/>
  <c r="P24" i="17"/>
  <c r="Y24" i="17"/>
  <c r="AF24" i="17"/>
  <c r="AO24" i="17"/>
  <c r="M25" i="17"/>
  <c r="N25" i="17" s="1"/>
  <c r="W25" i="17"/>
  <c r="AE25" i="17"/>
  <c r="AK25" i="17"/>
  <c r="AR25" i="17"/>
  <c r="S26" i="17"/>
  <c r="Y26" i="17"/>
  <c r="AF26" i="17"/>
  <c r="AO26" i="17"/>
  <c r="AP53" i="17" s="1"/>
  <c r="AU26" i="17"/>
  <c r="AV26" i="17" s="1"/>
  <c r="AK27" i="17"/>
  <c r="AR27" i="17"/>
  <c r="Q28" i="17"/>
  <c r="Y28" i="17"/>
  <c r="AF28" i="17"/>
  <c r="AO28" i="17"/>
  <c r="Y30" i="17"/>
  <c r="AI30" i="17"/>
  <c r="AQ30" i="17"/>
  <c r="P31" i="17"/>
  <c r="W31" i="17"/>
  <c r="AC31" i="17"/>
  <c r="AK31" i="17"/>
  <c r="AR31" i="17"/>
  <c r="L32" i="17"/>
  <c r="AB32" i="17"/>
  <c r="AN32" i="17"/>
  <c r="P33" i="17"/>
  <c r="AC33" i="17"/>
  <c r="AR33" i="17"/>
  <c r="L36" i="17"/>
  <c r="W36" i="17"/>
  <c r="AQ36" i="17"/>
  <c r="L37" i="17"/>
  <c r="W37" i="17"/>
  <c r="AH37" i="17"/>
  <c r="AQ37" i="17"/>
  <c r="AB38" i="17"/>
  <c r="AP38" i="17"/>
  <c r="AB40" i="17"/>
  <c r="V41" i="17"/>
  <c r="AH41" i="17"/>
  <c r="AR41" i="17"/>
  <c r="W42" i="17"/>
  <c r="P44" i="17"/>
  <c r="AE44" i="17"/>
  <c r="AQ44" i="17"/>
  <c r="S45" i="17"/>
  <c r="AE45" i="17"/>
  <c r="AQ45" i="17"/>
  <c r="T46" i="17"/>
  <c r="AL46" i="17"/>
  <c r="M47" i="17"/>
  <c r="N47" i="17" s="1"/>
  <c r="AC47" i="17"/>
  <c r="AD47" i="17" s="1"/>
  <c r="AR47" i="17"/>
  <c r="AS47" i="17" s="1"/>
  <c r="V49" i="17"/>
  <c r="AH49" i="17"/>
  <c r="AT49" i="17"/>
  <c r="V51" i="17"/>
  <c r="Z51" i="17" s="1"/>
  <c r="AA51" i="17" s="1"/>
  <c r="AH51" i="17"/>
  <c r="AR51" i="17"/>
  <c r="AL52" i="17"/>
  <c r="AL53" i="17"/>
  <c r="K39" i="18"/>
  <c r="L39" i="18" s="1"/>
  <c r="K14" i="18"/>
  <c r="L14" i="18" s="1"/>
  <c r="K24" i="18"/>
  <c r="L24" i="18" s="1"/>
  <c r="K20" i="18"/>
  <c r="L20" i="18" s="1"/>
  <c r="K28" i="18"/>
  <c r="L28" i="18" s="1"/>
  <c r="K25" i="18"/>
  <c r="L25" i="18" s="1"/>
  <c r="K40" i="18"/>
  <c r="L40" i="18" s="1"/>
  <c r="AF6" i="17"/>
  <c r="AT17" i="17"/>
  <c r="AT19" i="17"/>
  <c r="AQ24" i="17"/>
  <c r="AC30" i="17"/>
  <c r="AK33" i="17"/>
  <c r="AT33" i="17"/>
  <c r="AF45" i="17"/>
  <c r="AR45" i="17"/>
  <c r="V8" i="17"/>
  <c r="AI24" i="17"/>
  <c r="AJ26" i="17"/>
  <c r="X31" i="17"/>
  <c r="L6" i="17"/>
  <c r="AG6" i="17" s="1"/>
  <c r="Y6" i="17"/>
  <c r="AK6" i="17"/>
  <c r="AO7" i="17"/>
  <c r="M8" i="17"/>
  <c r="W8" i="17"/>
  <c r="AI8" i="17"/>
  <c r="AI9" i="17"/>
  <c r="W10" i="17"/>
  <c r="AI10" i="17"/>
  <c r="AT10" i="17"/>
  <c r="Y11" i="17"/>
  <c r="S12" i="17"/>
  <c r="AC12" i="17"/>
  <c r="AQ12" i="17"/>
  <c r="S13" i="17"/>
  <c r="V14" i="17"/>
  <c r="AH14" i="17"/>
  <c r="AT14" i="17"/>
  <c r="Y15" i="17"/>
  <c r="S16" i="17"/>
  <c r="AC16" i="17"/>
  <c r="AQ16" i="17"/>
  <c r="S17" i="17"/>
  <c r="V18" i="17"/>
  <c r="AH18" i="17"/>
  <c r="AQ18" i="17"/>
  <c r="S19" i="17"/>
  <c r="Z20" i="17"/>
  <c r="AT20" i="17"/>
  <c r="M23" i="17"/>
  <c r="N23" i="17" s="1"/>
  <c r="T23" i="17"/>
  <c r="U23" i="17" s="1"/>
  <c r="AE23" i="17"/>
  <c r="AK23" i="17"/>
  <c r="AR23" i="17"/>
  <c r="L24" i="17"/>
  <c r="AG24" i="17" s="1"/>
  <c r="S24" i="17"/>
  <c r="AC24" i="17"/>
  <c r="AK24" i="17"/>
  <c r="AR24" i="17"/>
  <c r="S25" i="17"/>
  <c r="AB25" i="17"/>
  <c r="AO25" i="17"/>
  <c r="AU25" i="17"/>
  <c r="M26" i="17"/>
  <c r="N26" i="17" s="1"/>
  <c r="O26" i="17" s="1"/>
  <c r="W26" i="17"/>
  <c r="AC26" i="17"/>
  <c r="AK26" i="17"/>
  <c r="AR26" i="17"/>
  <c r="P27" i="17"/>
  <c r="T27" i="17" s="1"/>
  <c r="U27" i="17" s="1"/>
  <c r="Y27" i="17"/>
  <c r="AI27" i="17"/>
  <c r="AO27" i="17"/>
  <c r="AV27" i="17"/>
  <c r="M28" i="17"/>
  <c r="N28" i="17" s="1"/>
  <c r="T28" i="17"/>
  <c r="AC28" i="17"/>
  <c r="AK28" i="17"/>
  <c r="AU28" i="17"/>
  <c r="M30" i="17"/>
  <c r="Q30" i="17" s="1"/>
  <c r="R30" i="17" s="1"/>
  <c r="W30" i="17"/>
  <c r="AE30" i="17"/>
  <c r="AN30" i="17"/>
  <c r="AU30" i="17"/>
  <c r="M31" i="17"/>
  <c r="N31" i="17" s="1"/>
  <c r="O31" i="17" s="1"/>
  <c r="S31" i="17"/>
  <c r="T31" i="17" s="1"/>
  <c r="U31" i="17" s="1"/>
  <c r="Y31" i="17"/>
  <c r="AF31" i="17"/>
  <c r="AO31" i="17"/>
  <c r="AU31" i="17"/>
  <c r="AV31" i="17" s="1"/>
  <c r="V32" i="17"/>
  <c r="AH32" i="17"/>
  <c r="AS32" i="17"/>
  <c r="L33" i="17"/>
  <c r="AS33" i="17" s="1"/>
  <c r="Y33" i="17"/>
  <c r="AN33" i="17"/>
  <c r="S36" i="17"/>
  <c r="AF36" i="17"/>
  <c r="S37" i="17"/>
  <c r="T37" i="17" s="1"/>
  <c r="AB37" i="17"/>
  <c r="AL37" i="17"/>
  <c r="AT37" i="17"/>
  <c r="S38" i="17"/>
  <c r="AI38" i="17"/>
  <c r="AI39" i="17"/>
  <c r="L40" i="17"/>
  <c r="AV40" i="17" s="1"/>
  <c r="AQ40" i="17"/>
  <c r="P41" i="17"/>
  <c r="AB41" i="17"/>
  <c r="AR42" i="17"/>
  <c r="W44" i="17"/>
  <c r="X44" i="17" s="1"/>
  <c r="AI44" i="17"/>
  <c r="AJ44" i="17" s="1"/>
  <c r="AU44" i="17"/>
  <c r="L45" i="17"/>
  <c r="W45" i="17"/>
  <c r="AI45" i="17"/>
  <c r="AU45" i="17"/>
  <c r="P46" i="17"/>
  <c r="Y47" i="17"/>
  <c r="AN47" i="17"/>
  <c r="M49" i="17"/>
  <c r="N49" i="17" s="1"/>
  <c r="AB49" i="17"/>
  <c r="M51" i="17"/>
  <c r="N51" i="17" s="1"/>
  <c r="AB51" i="17"/>
  <c r="AN51" i="17"/>
  <c r="AT51" i="17"/>
  <c r="Q53" i="17"/>
  <c r="R53" i="17" s="1"/>
  <c r="Z53" i="17"/>
  <c r="K33" i="18"/>
  <c r="L33" i="18" s="1"/>
  <c r="K38" i="18"/>
  <c r="L38" i="18" s="1"/>
  <c r="K10" i="18"/>
  <c r="L10" i="18" s="1"/>
  <c r="K16" i="18"/>
  <c r="L16" i="18" s="1"/>
  <c r="K53" i="18"/>
  <c r="L53" i="18" s="1"/>
  <c r="AR6" i="17"/>
  <c r="AH8" i="17"/>
  <c r="AS31" i="17"/>
  <c r="M6" i="17"/>
  <c r="AN6" i="17"/>
  <c r="N8" i="17"/>
  <c r="Y8" i="17"/>
  <c r="M10" i="17"/>
  <c r="T10" i="17" s="1"/>
  <c r="Y10" i="17"/>
  <c r="V12" i="17"/>
  <c r="AH12" i="17"/>
  <c r="W14" i="17"/>
  <c r="V16" i="17"/>
  <c r="AH16" i="17"/>
  <c r="W18" i="17"/>
  <c r="AI18" i="17"/>
  <c r="O23" i="17"/>
  <c r="Y23" i="17"/>
  <c r="AF23" i="17"/>
  <c r="AN23" i="17"/>
  <c r="AU23" i="17"/>
  <c r="AV23" i="17" s="1"/>
  <c r="M24" i="17"/>
  <c r="N24" i="17" s="1"/>
  <c r="T24" i="17"/>
  <c r="AE24" i="17"/>
  <c r="AN24" i="17"/>
  <c r="AU24" i="17"/>
  <c r="L25" i="17"/>
  <c r="AS25" i="17" s="1"/>
  <c r="T25" i="17"/>
  <c r="AC25" i="17"/>
  <c r="AI25" i="17"/>
  <c r="AQ25" i="17"/>
  <c r="P26" i="17"/>
  <c r="X26" i="17"/>
  <c r="AE26" i="17"/>
  <c r="AN26" i="17"/>
  <c r="AS26" i="17"/>
  <c r="Q27" i="17"/>
  <c r="AB27" i="17"/>
  <c r="AF27" i="17" s="1"/>
  <c r="AG27" i="17" s="1"/>
  <c r="AJ27" i="17"/>
  <c r="AQ27" i="17"/>
  <c r="P28" i="17"/>
  <c r="W28" i="17"/>
  <c r="AE28" i="17"/>
  <c r="AN28" i="17"/>
  <c r="AR28" i="17" s="1"/>
  <c r="AS28" i="17" s="1"/>
  <c r="X30" i="17"/>
  <c r="AF30" i="17"/>
  <c r="AO30" i="17"/>
  <c r="AI31" i="17"/>
  <c r="AJ31" i="17" s="1"/>
  <c r="AQ31" i="17"/>
  <c r="Y32" i="17"/>
  <c r="AL32" i="17"/>
  <c r="M33" i="17"/>
  <c r="AB33" i="17"/>
  <c r="AO33" i="17"/>
  <c r="V36" i="17"/>
  <c r="V37" i="17"/>
  <c r="AF37" i="17"/>
  <c r="V40" i="17"/>
  <c r="T41" i="17"/>
  <c r="AB44" i="17"/>
  <c r="AN44" i="17"/>
  <c r="AV44" i="17"/>
  <c r="P45" i="17"/>
  <c r="AB45" i="17"/>
  <c r="AN45" i="17"/>
  <c r="AD49" i="17"/>
  <c r="AD51" i="17"/>
  <c r="K12" i="18"/>
  <c r="L12" i="18" s="1"/>
  <c r="K8" i="18"/>
  <c r="L8" i="18" s="1"/>
  <c r="K37" i="18"/>
  <c r="L37" i="18" s="1"/>
  <c r="K44" i="18"/>
  <c r="L44" i="18" s="1"/>
  <c r="K32" i="18"/>
  <c r="L32" i="18" s="1"/>
  <c r="K52" i="18"/>
  <c r="L52" i="18" s="1"/>
  <c r="K31" i="18"/>
  <c r="L31" i="18" s="1"/>
  <c r="K48" i="18"/>
  <c r="L48" i="18" s="1"/>
  <c r="K18" i="18"/>
  <c r="L18" i="18" s="1"/>
  <c r="K30" i="18"/>
  <c r="L30" i="18" s="1"/>
  <c r="K34" i="18"/>
  <c r="L34" i="18" s="1"/>
  <c r="K22" i="18"/>
  <c r="L22" i="18" s="1"/>
  <c r="K51" i="18"/>
  <c r="L51" i="18" s="1"/>
  <c r="K49" i="18"/>
  <c r="L49" i="18" s="1"/>
  <c r="K26" i="18"/>
  <c r="L26" i="18" s="1"/>
  <c r="K35" i="18"/>
  <c r="L35" i="18" s="1"/>
  <c r="K46" i="18"/>
  <c r="L46" i="18" s="1"/>
  <c r="K42" i="18"/>
  <c r="L42" i="18" s="1"/>
  <c r="R6" i="18"/>
  <c r="S6" i="18" s="1"/>
  <c r="K6" i="18" s="1"/>
  <c r="L6" i="18" s="1"/>
  <c r="T11" i="17"/>
  <c r="Z21" i="17"/>
  <c r="AH21" i="17"/>
  <c r="AU22" i="17"/>
  <c r="X28" i="17"/>
  <c r="AJ28" i="17"/>
  <c r="O28" i="17"/>
  <c r="AP52" i="17"/>
  <c r="Z7" i="17"/>
  <c r="AK7" i="17"/>
  <c r="Z9" i="17"/>
  <c r="AK9" i="17"/>
  <c r="AU9" i="17"/>
  <c r="AR11" i="17"/>
  <c r="AN11" i="17"/>
  <c r="AF11" i="17"/>
  <c r="AB11" i="17"/>
  <c r="P11" i="17"/>
  <c r="L11" i="17"/>
  <c r="Z11" i="17"/>
  <c r="AK11" i="17"/>
  <c r="AU11" i="17"/>
  <c r="AR13" i="17"/>
  <c r="AN13" i="17"/>
  <c r="AF13" i="17"/>
  <c r="AB13" i="17"/>
  <c r="P13" i="17"/>
  <c r="L13" i="17"/>
  <c r="X13" i="17" s="1"/>
  <c r="AE13" i="17"/>
  <c r="AK13" i="17"/>
  <c r="AU13" i="17"/>
  <c r="AR15" i="17"/>
  <c r="AN15" i="17"/>
  <c r="AF15" i="17"/>
  <c r="AB15" i="17"/>
  <c r="AC15" i="17" s="1"/>
  <c r="T15" i="17"/>
  <c r="P15" i="17"/>
  <c r="L15" i="17"/>
  <c r="AD15" i="17" s="1"/>
  <c r="AE15" i="17"/>
  <c r="Z17" i="17"/>
  <c r="AK17" i="17"/>
  <c r="Z19" i="17"/>
  <c r="AK19" i="17"/>
  <c r="M21" i="17"/>
  <c r="N21" i="17" s="1"/>
  <c r="AC21" i="17"/>
  <c r="AN22" i="17"/>
  <c r="AO34" i="17"/>
  <c r="AK34" i="17"/>
  <c r="AC34" i="17"/>
  <c r="Y34" i="17"/>
  <c r="M34" i="17"/>
  <c r="AQ34" i="17"/>
  <c r="AL34" i="17"/>
  <c r="AF34" i="17"/>
  <c r="V34" i="17"/>
  <c r="P34" i="17"/>
  <c r="AR34" i="17"/>
  <c r="AH34" i="17"/>
  <c r="AB34" i="17"/>
  <c r="W34" i="17"/>
  <c r="L34" i="17"/>
  <c r="AD34" i="17" s="1"/>
  <c r="AT34" i="17"/>
  <c r="AU34" i="17"/>
  <c r="Z34" i="17"/>
  <c r="AE34" i="17"/>
  <c r="AE35" i="17"/>
  <c r="AT43" i="17"/>
  <c r="AL43" i="17"/>
  <c r="AK43" i="17"/>
  <c r="AC43" i="17"/>
  <c r="Y43" i="17"/>
  <c r="M43" i="17"/>
  <c r="N43" i="17" s="1"/>
  <c r="AN43" i="17"/>
  <c r="AO43" i="17" s="1"/>
  <c r="AH43" i="17"/>
  <c r="AB43" i="17"/>
  <c r="W43" i="17"/>
  <c r="L43" i="17"/>
  <c r="AV43" i="17" s="1"/>
  <c r="AQ43" i="17"/>
  <c r="AF43" i="17"/>
  <c r="Z43" i="17"/>
  <c r="S43" i="17"/>
  <c r="AR43" i="17"/>
  <c r="AI43" i="17"/>
  <c r="AU43" i="17"/>
  <c r="AE43" i="17"/>
  <c r="P43" i="17"/>
  <c r="AP46" i="17"/>
  <c r="V6" i="17"/>
  <c r="Z6" i="17" s="1"/>
  <c r="AA6" i="17" s="1"/>
  <c r="AH6" i="17"/>
  <c r="AL6" i="17"/>
  <c r="AM6" i="17" s="1"/>
  <c r="AT6" i="17"/>
  <c r="Q7" i="17"/>
  <c r="AL7" i="17"/>
  <c r="V9" i="17"/>
  <c r="AL9" i="17"/>
  <c r="V11" i="17"/>
  <c r="V13" i="17"/>
  <c r="AL13" i="17"/>
  <c r="V15" i="17"/>
  <c r="AL15" i="17"/>
  <c r="AQ15" i="17"/>
  <c r="T16" i="17"/>
  <c r="V19" i="17"/>
  <c r="AL19" i="17"/>
  <c r="AQ19" i="17"/>
  <c r="V21" i="17"/>
  <c r="AT21" i="17"/>
  <c r="AE22" i="17"/>
  <c r="AO22" i="17"/>
  <c r="Q25" i="17"/>
  <c r="R25" i="17" s="1"/>
  <c r="AJ30" i="17"/>
  <c r="AV30" i="17"/>
  <c r="AG30" i="17"/>
  <c r="AS30" i="17"/>
  <c r="S34" i="17"/>
  <c r="AN34" i="17"/>
  <c r="S6" i="17"/>
  <c r="W6" i="17"/>
  <c r="AE6" i="17"/>
  <c r="AI6" i="17"/>
  <c r="AJ6" i="17" s="1"/>
  <c r="AQ6" i="17"/>
  <c r="M7" i="17"/>
  <c r="N7" i="17" s="1"/>
  <c r="R7" i="17"/>
  <c r="W7" i="17"/>
  <c r="AC7" i="17"/>
  <c r="AH7" i="17"/>
  <c r="AM7" i="17"/>
  <c r="AR8" i="17"/>
  <c r="AN8" i="17"/>
  <c r="AF8" i="17"/>
  <c r="AB8" i="17"/>
  <c r="P8" i="17"/>
  <c r="Q8" i="17" s="1"/>
  <c r="L8" i="17"/>
  <c r="O8" i="17" s="1"/>
  <c r="Z8" i="17"/>
  <c r="AE8" i="17"/>
  <c r="AK8" i="17"/>
  <c r="AL8" i="17" s="1"/>
  <c r="AP8" i="17"/>
  <c r="AU8" i="17"/>
  <c r="M9" i="17"/>
  <c r="W9" i="17"/>
  <c r="AC9" i="17"/>
  <c r="AH9" i="17"/>
  <c r="AR10" i="17"/>
  <c r="AN10" i="17"/>
  <c r="AB10" i="17"/>
  <c r="P10" i="17"/>
  <c r="Q10" i="17" s="1"/>
  <c r="L10" i="17"/>
  <c r="O10" i="17" s="1"/>
  <c r="Z10" i="17"/>
  <c r="AE10" i="17"/>
  <c r="AK10" i="17"/>
  <c r="AU10" i="17"/>
  <c r="M11" i="17"/>
  <c r="N11" i="17" s="1"/>
  <c r="W11" i="17"/>
  <c r="AC11" i="17"/>
  <c r="AH11" i="17"/>
  <c r="AS11" i="17"/>
  <c r="AR12" i="17"/>
  <c r="AN12" i="17"/>
  <c r="AF12" i="17"/>
  <c r="AB12" i="17"/>
  <c r="P12" i="17"/>
  <c r="T12" i="17" s="1"/>
  <c r="L12" i="17"/>
  <c r="O12" i="17" s="1"/>
  <c r="Z12" i="17"/>
  <c r="AE12" i="17"/>
  <c r="AK12" i="17"/>
  <c r="AL12" i="17" s="1"/>
  <c r="AP12" i="17"/>
  <c r="AU12" i="17"/>
  <c r="M13" i="17"/>
  <c r="N13" i="17" s="1"/>
  <c r="W13" i="17"/>
  <c r="AC13" i="17"/>
  <c r="AH13" i="17"/>
  <c r="AR14" i="17"/>
  <c r="AN14" i="17"/>
  <c r="AF14" i="17"/>
  <c r="AB14" i="17"/>
  <c r="P14" i="17"/>
  <c r="Q14" i="17" s="1"/>
  <c r="L14" i="17"/>
  <c r="X14" i="17" s="1"/>
  <c r="Z14" i="17"/>
  <c r="AE14" i="17"/>
  <c r="AK14" i="17"/>
  <c r="AU14" i="17"/>
  <c r="M15" i="17"/>
  <c r="N15" i="17" s="1"/>
  <c r="O15" i="17" s="1"/>
  <c r="W15" i="17"/>
  <c r="AH15" i="17"/>
  <c r="AS15" i="17"/>
  <c r="AR16" i="17"/>
  <c r="AN16" i="17"/>
  <c r="AF16" i="17"/>
  <c r="AB16" i="17"/>
  <c r="X16" i="17"/>
  <c r="P16" i="17"/>
  <c r="L16" i="17"/>
  <c r="O16" i="17"/>
  <c r="U16" i="17"/>
  <c r="Z16" i="17"/>
  <c r="AE16" i="17"/>
  <c r="AI16" i="17" s="1"/>
  <c r="AJ16" i="17" s="1"/>
  <c r="AK16" i="17"/>
  <c r="AP16" i="17"/>
  <c r="AU16" i="17"/>
  <c r="M17" i="17"/>
  <c r="N17" i="17" s="1"/>
  <c r="W17" i="17"/>
  <c r="AC17" i="17"/>
  <c r="AH17" i="17"/>
  <c r="AR18" i="17"/>
  <c r="AN18" i="17"/>
  <c r="AB18" i="17"/>
  <c r="T18" i="17"/>
  <c r="P18" i="17"/>
  <c r="Q18" i="17" s="1"/>
  <c r="L18" i="17"/>
  <c r="U18" i="17" s="1"/>
  <c r="Z18" i="17"/>
  <c r="AE18" i="17"/>
  <c r="AK18" i="17"/>
  <c r="AU18" i="17"/>
  <c r="M19" i="17"/>
  <c r="N19" i="17" s="1"/>
  <c r="W19" i="17"/>
  <c r="AC19" i="17"/>
  <c r="AH19" i="17"/>
  <c r="AU20" i="17"/>
  <c r="AQ20" i="17"/>
  <c r="AI20" i="17"/>
  <c r="AE20" i="17"/>
  <c r="W20" i="17"/>
  <c r="S20" i="17"/>
  <c r="AR20" i="17"/>
  <c r="AN20" i="17"/>
  <c r="AF20" i="17"/>
  <c r="AB20" i="17"/>
  <c r="P20" i="17"/>
  <c r="L20" i="17"/>
  <c r="AM20" i="17" s="1"/>
  <c r="Q20" i="17"/>
  <c r="Y20" i="17"/>
  <c r="AO20" i="17"/>
  <c r="Y21" i="17"/>
  <c r="Y22" i="17"/>
  <c r="AI22" i="17"/>
  <c r="U24" i="17"/>
  <c r="AJ25" i="17"/>
  <c r="AV25" i="17"/>
  <c r="U25" i="17"/>
  <c r="Q26" i="17"/>
  <c r="R26" i="17" s="1"/>
  <c r="AV28" i="17"/>
  <c r="N30" i="17"/>
  <c r="O30" i="17" s="1"/>
  <c r="T30" i="17"/>
  <c r="U30" i="17" s="1"/>
  <c r="AD36" i="17"/>
  <c r="X36" i="17"/>
  <c r="AV36" i="17"/>
  <c r="O45" i="17"/>
  <c r="X6" i="17"/>
  <c r="AU21" i="17"/>
  <c r="AQ21" i="17"/>
  <c r="AI21" i="17"/>
  <c r="AE21" i="17"/>
  <c r="W21" i="17"/>
  <c r="S21" i="17"/>
  <c r="AR21" i="17"/>
  <c r="AN21" i="17"/>
  <c r="AF21" i="17"/>
  <c r="AB21" i="17"/>
  <c r="P21" i="17"/>
  <c r="Q21" i="17" s="1"/>
  <c r="L21" i="17"/>
  <c r="X21" i="17" s="1"/>
  <c r="AT22" i="17"/>
  <c r="AH22" i="17"/>
  <c r="AQ22" i="17"/>
  <c r="AK22" i="17"/>
  <c r="AL22" i="17" s="1"/>
  <c r="AF22" i="17"/>
  <c r="W22" i="17"/>
  <c r="S22" i="17"/>
  <c r="T22" i="17" s="1"/>
  <c r="AR22" i="17"/>
  <c r="AB22" i="17"/>
  <c r="P22" i="17"/>
  <c r="L22" i="17"/>
  <c r="Z22" i="17"/>
  <c r="AR7" i="17"/>
  <c r="AU7" i="17" s="1"/>
  <c r="AN7" i="17"/>
  <c r="AF7" i="17"/>
  <c r="AB7" i="17"/>
  <c r="P7" i="17"/>
  <c r="T7" i="17" s="1"/>
  <c r="U7" i="17" s="1"/>
  <c r="L7" i="17"/>
  <c r="AD7" i="17" s="1"/>
  <c r="AE7" i="17"/>
  <c r="AV9" i="17"/>
  <c r="AR9" i="17"/>
  <c r="AN9" i="17"/>
  <c r="AB9" i="17"/>
  <c r="X9" i="17"/>
  <c r="P9" i="17"/>
  <c r="Q9" i="17" s="1"/>
  <c r="L9" i="17"/>
  <c r="AE9" i="17"/>
  <c r="AF9" i="17" s="1"/>
  <c r="AG9" i="17" s="1"/>
  <c r="AP9" i="17"/>
  <c r="AE11" i="17"/>
  <c r="Z13" i="17"/>
  <c r="Z15" i="17"/>
  <c r="AK15" i="17"/>
  <c r="AU15" i="17"/>
  <c r="AR17" i="17"/>
  <c r="AN17" i="17"/>
  <c r="AF17" i="17"/>
  <c r="AB17" i="17"/>
  <c r="P17" i="17"/>
  <c r="Q17" i="17" s="1"/>
  <c r="L17" i="17"/>
  <c r="AD17" i="17" s="1"/>
  <c r="AE17" i="17"/>
  <c r="AU17" i="17"/>
  <c r="AR19" i="17"/>
  <c r="AN19" i="17"/>
  <c r="AF19" i="17"/>
  <c r="AB19" i="17"/>
  <c r="X19" i="17"/>
  <c r="P19" i="17"/>
  <c r="T19" i="17" s="1"/>
  <c r="L19" i="17"/>
  <c r="AG19" i="17" s="1"/>
  <c r="AE19" i="17"/>
  <c r="AP19" i="17"/>
  <c r="AU19" i="17"/>
  <c r="AK21" i="17"/>
  <c r="M22" i="17"/>
  <c r="N22" i="17" s="1"/>
  <c r="AC22" i="17"/>
  <c r="O25" i="17"/>
  <c r="AS24" i="17"/>
  <c r="AJ24" i="17"/>
  <c r="O24" i="17"/>
  <c r="AO35" i="17"/>
  <c r="AK35" i="17"/>
  <c r="AC35" i="17"/>
  <c r="Y35" i="17"/>
  <c r="M35" i="17"/>
  <c r="N35" i="17" s="1"/>
  <c r="AR35" i="17"/>
  <c r="AH35" i="17"/>
  <c r="AB35" i="17"/>
  <c r="W35" i="17"/>
  <c r="X35" i="17" s="1"/>
  <c r="L35" i="17"/>
  <c r="AG35" i="17" s="1"/>
  <c r="AT35" i="17"/>
  <c r="AN35" i="17"/>
  <c r="AI35" i="17"/>
  <c r="S35" i="17"/>
  <c r="AQ35" i="17"/>
  <c r="AF35" i="17"/>
  <c r="V35" i="17"/>
  <c r="AU35" i="17"/>
  <c r="Z35" i="17"/>
  <c r="O35" i="17"/>
  <c r="AV6" i="17"/>
  <c r="AD6" i="17"/>
  <c r="AP6" i="17"/>
  <c r="AS6" i="17" s="1"/>
  <c r="V7" i="17"/>
  <c r="AQ7" i="17"/>
  <c r="AA9" i="17"/>
  <c r="AQ9" i="17"/>
  <c r="N10" i="17"/>
  <c r="Q11" i="17"/>
  <c r="AG11" i="17"/>
  <c r="AQ11" i="17"/>
  <c r="AQ13" i="17"/>
  <c r="T14" i="17"/>
  <c r="AG15" i="17"/>
  <c r="V17" i="17"/>
  <c r="AL17" i="17"/>
  <c r="AQ17" i="17"/>
  <c r="Q19" i="17"/>
  <c r="AL21" i="17"/>
  <c r="V22" i="17"/>
  <c r="U28" i="17"/>
  <c r="AG28" i="17"/>
  <c r="AD32" i="17"/>
  <c r="P35" i="17"/>
  <c r="AP40" i="17"/>
  <c r="V43" i="17"/>
  <c r="AS23" i="17"/>
  <c r="AG26" i="17"/>
  <c r="X27" i="17"/>
  <c r="AS27" i="17"/>
  <c r="AG31" i="17"/>
  <c r="AU32" i="17"/>
  <c r="AV32" i="17" s="1"/>
  <c r="AQ32" i="17"/>
  <c r="AM32" i="17"/>
  <c r="AI32" i="17"/>
  <c r="AJ32" i="17" s="1"/>
  <c r="AE32" i="17"/>
  <c r="W32" i="17"/>
  <c r="X32" i="17" s="1"/>
  <c r="S32" i="17"/>
  <c r="O32" i="17"/>
  <c r="P32" i="17"/>
  <c r="Q32" i="17" s="1"/>
  <c r="R32" i="17" s="1"/>
  <c r="Z32" i="17"/>
  <c r="AA32" i="17" s="1"/>
  <c r="AF32" i="17"/>
  <c r="AG32" i="17" s="1"/>
  <c r="AK32" i="17"/>
  <c r="AO32" i="17" s="1"/>
  <c r="AP32" i="17"/>
  <c r="T36" i="17"/>
  <c r="U36" i="17" s="1"/>
  <c r="AJ38" i="17"/>
  <c r="AM41" i="17"/>
  <c r="X41" i="17"/>
  <c r="AU50" i="17"/>
  <c r="AV50" i="17" s="1"/>
  <c r="AQ50" i="17"/>
  <c r="AI50" i="17"/>
  <c r="AJ50" i="17" s="1"/>
  <c r="AE50" i="17"/>
  <c r="AA50" i="17"/>
  <c r="S50" i="17"/>
  <c r="W50" i="17" s="1"/>
  <c r="X50" i="17" s="1"/>
  <c r="AT50" i="17"/>
  <c r="AO50" i="17"/>
  <c r="Y50" i="17"/>
  <c r="T50" i="17"/>
  <c r="U50" i="17" s="1"/>
  <c r="AN50" i="17"/>
  <c r="AH50" i="17"/>
  <c r="AC50" i="17"/>
  <c r="AD50" i="17" s="1"/>
  <c r="M50" i="17"/>
  <c r="N50" i="17" s="1"/>
  <c r="O50" i="17" s="1"/>
  <c r="AL50" i="17"/>
  <c r="AM50" i="17" s="1"/>
  <c r="AB50" i="17"/>
  <c r="AR50" i="17"/>
  <c r="AS50" i="17" s="1"/>
  <c r="AF50" i="17"/>
  <c r="AG50" i="17" s="1"/>
  <c r="P50" i="17"/>
  <c r="AK50" i="17"/>
  <c r="AG23" i="17"/>
  <c r="AA40" i="17"/>
  <c r="AV45" i="17"/>
  <c r="X45" i="17"/>
  <c r="AJ45" i="17"/>
  <c r="V23" i="17"/>
  <c r="W23" i="17" s="1"/>
  <c r="X23" i="17" s="1"/>
  <c r="Z23" i="17"/>
  <c r="AA23" i="17" s="1"/>
  <c r="AD23" i="17"/>
  <c r="AH23" i="17"/>
  <c r="AL23" i="17"/>
  <c r="AM23" i="17" s="1"/>
  <c r="AP23" i="17"/>
  <c r="V24" i="17"/>
  <c r="W24" i="17" s="1"/>
  <c r="X24" i="17" s="1"/>
  <c r="Z24" i="17"/>
  <c r="AA24" i="17" s="1"/>
  <c r="AD24" i="17"/>
  <c r="AH24" i="17"/>
  <c r="AL24" i="17"/>
  <c r="AM24" i="17" s="1"/>
  <c r="AP24" i="17"/>
  <c r="V25" i="17"/>
  <c r="Z25" i="17" s="1"/>
  <c r="AA25" i="17" s="1"/>
  <c r="AD25" i="17"/>
  <c r="AH25" i="17"/>
  <c r="AL25" i="17"/>
  <c r="AM25" i="17" s="1"/>
  <c r="AP25" i="17"/>
  <c r="V26" i="17"/>
  <c r="Z26" i="17" s="1"/>
  <c r="AA26" i="17" s="1"/>
  <c r="AD26" i="17"/>
  <c r="AH26" i="17"/>
  <c r="AL26" i="17"/>
  <c r="AM26" i="17" s="1"/>
  <c r="AP26" i="17"/>
  <c r="R27" i="17"/>
  <c r="V27" i="17"/>
  <c r="Z27" i="17"/>
  <c r="AA27" i="17" s="1"/>
  <c r="AD27" i="17"/>
  <c r="AH27" i="17"/>
  <c r="AL27" i="17"/>
  <c r="AM27" i="17" s="1"/>
  <c r="AP27" i="17"/>
  <c r="R28" i="17"/>
  <c r="V28" i="17"/>
  <c r="Z28" i="17" s="1"/>
  <c r="AA28" i="17" s="1"/>
  <c r="AD28" i="17"/>
  <c r="AH28" i="17"/>
  <c r="AL28" i="17"/>
  <c r="AM28" i="17" s="1"/>
  <c r="AP28" i="17"/>
  <c r="V30" i="17"/>
  <c r="Z30" i="17"/>
  <c r="AA30" i="17" s="1"/>
  <c r="AD30" i="17"/>
  <c r="AH30" i="17"/>
  <c r="AL30" i="17"/>
  <c r="AM30" i="17" s="1"/>
  <c r="AP30" i="17"/>
  <c r="R31" i="17"/>
  <c r="V31" i="17"/>
  <c r="Z31" i="17"/>
  <c r="AA31" i="17" s="1"/>
  <c r="AD31" i="17"/>
  <c r="AH31" i="17"/>
  <c r="AL31" i="17" s="1"/>
  <c r="AM31" i="17" s="1"/>
  <c r="AP31" i="17"/>
  <c r="S33" i="17"/>
  <c r="W33" i="17"/>
  <c r="X33" i="17" s="1"/>
  <c r="AE33" i="17"/>
  <c r="AF33" i="17" s="1"/>
  <c r="AG33" i="17" s="1"/>
  <c r="AI33" i="17"/>
  <c r="AJ33" i="17" s="1"/>
  <c r="AQ33" i="17"/>
  <c r="AO36" i="17"/>
  <c r="AP36" i="17" s="1"/>
  <c r="AK36" i="17"/>
  <c r="AL36" i="17" s="1"/>
  <c r="AM36" i="17" s="1"/>
  <c r="AG36" i="17"/>
  <c r="AC36" i="17"/>
  <c r="Y36" i="17"/>
  <c r="M36" i="17"/>
  <c r="N36" i="17" s="1"/>
  <c r="O36" i="17" s="1"/>
  <c r="AT36" i="17"/>
  <c r="AN36" i="17"/>
  <c r="AI36" i="17"/>
  <c r="AJ36" i="17" s="1"/>
  <c r="Z36" i="17"/>
  <c r="AA36" i="17" s="1"/>
  <c r="AE36" i="17"/>
  <c r="AR36" i="17"/>
  <c r="AS36" i="17" s="1"/>
  <c r="Q37" i="17"/>
  <c r="R37" i="17" s="1"/>
  <c r="AS38" i="17"/>
  <c r="AO38" i="17"/>
  <c r="AK38" i="17"/>
  <c r="AC38" i="17"/>
  <c r="AD38" i="17" s="1"/>
  <c r="Y38" i="17"/>
  <c r="M38" i="17"/>
  <c r="AV38" i="17"/>
  <c r="AQ38" i="17"/>
  <c r="AL38" i="17"/>
  <c r="AF38" i="17"/>
  <c r="AG38" i="17" s="1"/>
  <c r="AA38" i="17"/>
  <c r="V38" i="17"/>
  <c r="W38" i="17" s="1"/>
  <c r="X38" i="17" s="1"/>
  <c r="P38" i="17"/>
  <c r="AE38" i="17"/>
  <c r="AM38" i="17"/>
  <c r="AT38" i="17"/>
  <c r="S39" i="17"/>
  <c r="Z39" i="17"/>
  <c r="AF39" i="17"/>
  <c r="AN39" i="17"/>
  <c r="Z40" i="17"/>
  <c r="AF40" i="17"/>
  <c r="AM40" i="17"/>
  <c r="L42" i="17"/>
  <c r="S42" i="17"/>
  <c r="Z42" i="17"/>
  <c r="AA42" i="17" s="1"/>
  <c r="AH42" i="17"/>
  <c r="AI42" i="17" s="1"/>
  <c r="AN42" i="17"/>
  <c r="T44" i="17"/>
  <c r="L48" i="17"/>
  <c r="Z48" i="17"/>
  <c r="AU52" i="17"/>
  <c r="AQ52" i="17"/>
  <c r="AM52" i="17"/>
  <c r="AI52" i="17"/>
  <c r="AJ52" i="17" s="1"/>
  <c r="AE52" i="17"/>
  <c r="W52" i="17"/>
  <c r="X52" i="17" s="1"/>
  <c r="S52" i="17"/>
  <c r="AT52" i="17"/>
  <c r="AO52" i="17"/>
  <c r="Y52" i="17"/>
  <c r="AS52" i="17"/>
  <c r="AN52" i="17"/>
  <c r="AH52" i="17"/>
  <c r="R52" i="17"/>
  <c r="M52" i="17"/>
  <c r="N52" i="17" s="1"/>
  <c r="O52" i="17" s="1"/>
  <c r="AR52" i="17"/>
  <c r="AG52" i="17"/>
  <c r="V52" i="17"/>
  <c r="AV52" i="17"/>
  <c r="AK52" i="17"/>
  <c r="Z52" i="17"/>
  <c r="AA52" i="17" s="1"/>
  <c r="P52" i="17"/>
  <c r="AB52" i="17"/>
  <c r="AC52" i="17" s="1"/>
  <c r="AD52" i="17" s="1"/>
  <c r="V33" i="17"/>
  <c r="Z33" i="17"/>
  <c r="AA33" i="17" s="1"/>
  <c r="AD33" i="17"/>
  <c r="AH33" i="17"/>
  <c r="AL33" i="17"/>
  <c r="AM33" i="17" s="1"/>
  <c r="AP33" i="17"/>
  <c r="AU33" i="17"/>
  <c r="AV33" i="17" s="1"/>
  <c r="AO39" i="17"/>
  <c r="AK39" i="17"/>
  <c r="Y39" i="17"/>
  <c r="M39" i="17"/>
  <c r="AR39" i="17"/>
  <c r="AH39" i="17"/>
  <c r="AB39" i="17"/>
  <c r="W39" i="17"/>
  <c r="L39" i="17"/>
  <c r="AG39" i="17" s="1"/>
  <c r="P39" i="17"/>
  <c r="Q39" i="17" s="1"/>
  <c r="R39" i="17" s="1"/>
  <c r="AE39" i="17"/>
  <c r="AL39" i="17"/>
  <c r="AT39" i="17"/>
  <c r="AO40" i="17"/>
  <c r="AK40" i="17"/>
  <c r="AL40" i="17" s="1"/>
  <c r="AG40" i="17"/>
  <c r="AC40" i="17"/>
  <c r="Y40" i="17"/>
  <c r="Q40" i="17"/>
  <c r="R40" i="17" s="1"/>
  <c r="M40" i="17"/>
  <c r="N40" i="17" s="1"/>
  <c r="O40" i="17" s="1"/>
  <c r="AT40" i="17"/>
  <c r="AN40" i="17"/>
  <c r="AI40" i="17"/>
  <c r="AJ40" i="17" s="1"/>
  <c r="AD40" i="17"/>
  <c r="S40" i="17"/>
  <c r="P40" i="17"/>
  <c r="W40" i="17"/>
  <c r="X40" i="17" s="1"/>
  <c r="AE40" i="17"/>
  <c r="AR40" i="17"/>
  <c r="AS40" i="17" s="1"/>
  <c r="AO42" i="17"/>
  <c r="AK42" i="17"/>
  <c r="AC42" i="17"/>
  <c r="Y42" i="17"/>
  <c r="Q42" i="17"/>
  <c r="M42" i="17"/>
  <c r="N42" i="17" s="1"/>
  <c r="AV42" i="17"/>
  <c r="AQ42" i="17"/>
  <c r="AL42" i="17"/>
  <c r="AF42" i="17"/>
  <c r="V42" i="17"/>
  <c r="P42" i="17"/>
  <c r="R42" i="17"/>
  <c r="X42" i="17"/>
  <c r="AE42" i="17"/>
  <c r="AT42" i="17"/>
  <c r="Q44" i="17"/>
  <c r="R44" i="17" s="1"/>
  <c r="AU48" i="17"/>
  <c r="AQ48" i="17"/>
  <c r="AI48" i="17"/>
  <c r="AE48" i="17"/>
  <c r="S48" i="17"/>
  <c r="AT48" i="17"/>
  <c r="AO48" i="17"/>
  <c r="AD48" i="17"/>
  <c r="Y48" i="17"/>
  <c r="T48" i="17"/>
  <c r="AN48" i="17"/>
  <c r="AH48" i="17"/>
  <c r="AC48" i="17"/>
  <c r="M48" i="17"/>
  <c r="N48" i="17" s="1"/>
  <c r="AL48" i="17"/>
  <c r="AB48" i="17"/>
  <c r="V48" i="17"/>
  <c r="W48" i="17" s="1"/>
  <c r="AK48" i="17"/>
  <c r="AS37" i="17"/>
  <c r="AK37" i="17"/>
  <c r="AO37" i="17" s="1"/>
  <c r="AG37" i="17"/>
  <c r="AC37" i="17"/>
  <c r="AD37" i="17" s="1"/>
  <c r="Y37" i="17"/>
  <c r="U37" i="17"/>
  <c r="M37" i="17"/>
  <c r="N37" i="17" s="1"/>
  <c r="O37" i="17" s="1"/>
  <c r="Z37" i="17"/>
  <c r="AA37" i="17" s="1"/>
  <c r="AE37" i="17"/>
  <c r="AJ37" i="17"/>
  <c r="AP37" i="17"/>
  <c r="AU37" i="17"/>
  <c r="AV37" i="17" s="1"/>
  <c r="AS41" i="17"/>
  <c r="AO41" i="17"/>
  <c r="AK41" i="17"/>
  <c r="AG41" i="17"/>
  <c r="AC41" i="17"/>
  <c r="AD41" i="17" s="1"/>
  <c r="Y41" i="17"/>
  <c r="U41" i="17"/>
  <c r="Q41" i="17"/>
  <c r="R41" i="17" s="1"/>
  <c r="M41" i="17"/>
  <c r="N41" i="17" s="1"/>
  <c r="O41" i="17" s="1"/>
  <c r="Z41" i="17"/>
  <c r="AA41" i="17" s="1"/>
  <c r="AE41" i="17"/>
  <c r="AI41" i="17" s="1"/>
  <c r="AJ41" i="17" s="1"/>
  <c r="AP41" i="17"/>
  <c r="AU41" i="17"/>
  <c r="AV41" i="17" s="1"/>
  <c r="Q54" i="17"/>
  <c r="AR54" i="17"/>
  <c r="AN54" i="17"/>
  <c r="AB54" i="17"/>
  <c r="P54" i="17"/>
  <c r="L54" i="17"/>
  <c r="AA54" i="17" s="1"/>
  <c r="AU54" i="17"/>
  <c r="AQ54" i="17"/>
  <c r="AI54" i="17"/>
  <c r="AE54" i="17"/>
  <c r="AF54" i="17" s="1"/>
  <c r="W54" i="17"/>
  <c r="X54" i="17" s="1"/>
  <c r="S54" i="17"/>
  <c r="AT54" i="17"/>
  <c r="AL54" i="17"/>
  <c r="V54" i="17"/>
  <c r="AS54" i="17"/>
  <c r="AK54" i="17"/>
  <c r="AC54" i="17"/>
  <c r="M54" i="17"/>
  <c r="N54" i="17" s="1"/>
  <c r="O54" i="17" s="1"/>
  <c r="Z54" i="17"/>
  <c r="AP54" i="17"/>
  <c r="M44" i="17"/>
  <c r="N44" i="17" s="1"/>
  <c r="O44" i="17" s="1"/>
  <c r="U44" i="17"/>
  <c r="Y44" i="17"/>
  <c r="AC44" i="17"/>
  <c r="AG44" i="17"/>
  <c r="AK44" i="17"/>
  <c r="AO44" i="17" s="1"/>
  <c r="AS44" i="17"/>
  <c r="M45" i="17"/>
  <c r="N45" i="17" s="1"/>
  <c r="Y45" i="17"/>
  <c r="AC45" i="17"/>
  <c r="AD45" i="17" s="1"/>
  <c r="AG45" i="17"/>
  <c r="AK45" i="17"/>
  <c r="AO45" i="17" s="1"/>
  <c r="AS45" i="17"/>
  <c r="M46" i="17"/>
  <c r="N46" i="17" s="1"/>
  <c r="O46" i="17" s="1"/>
  <c r="U46" i="17"/>
  <c r="Y46" i="17"/>
  <c r="AC46" i="17"/>
  <c r="AD46" i="17" s="1"/>
  <c r="AH46" i="17"/>
  <c r="AN46" i="17"/>
  <c r="AU47" i="17"/>
  <c r="AV47" i="17" s="1"/>
  <c r="AQ47" i="17"/>
  <c r="AI47" i="17"/>
  <c r="AJ47" i="17" s="1"/>
  <c r="AE47" i="17"/>
  <c r="W47" i="17"/>
  <c r="X47" i="17" s="1"/>
  <c r="S47" i="17"/>
  <c r="O47" i="17"/>
  <c r="P47" i="17"/>
  <c r="Q47" i="17" s="1"/>
  <c r="R47" i="17" s="1"/>
  <c r="Z47" i="17"/>
  <c r="AA47" i="17" s="1"/>
  <c r="AF47" i="17"/>
  <c r="AG47" i="17" s="1"/>
  <c r="AK47" i="17"/>
  <c r="AL47" i="17" s="1"/>
  <c r="AM47" i="17" s="1"/>
  <c r="AP47" i="17"/>
  <c r="AU49" i="17"/>
  <c r="AV49" i="17" s="1"/>
  <c r="AQ49" i="17"/>
  <c r="AR49" i="17" s="1"/>
  <c r="AS49" i="17" s="1"/>
  <c r="AM49" i="17"/>
  <c r="AI49" i="17"/>
  <c r="AJ49" i="17" s="1"/>
  <c r="AE49" i="17"/>
  <c r="AA49" i="17"/>
  <c r="S49" i="17"/>
  <c r="W49" i="17" s="1"/>
  <c r="X49" i="17" s="1"/>
  <c r="O49" i="17"/>
  <c r="P49" i="17"/>
  <c r="Q49" i="17" s="1"/>
  <c r="R49" i="17" s="1"/>
  <c r="U49" i="17"/>
  <c r="Z49" i="17"/>
  <c r="AF49" i="17"/>
  <c r="AG49" i="17" s="1"/>
  <c r="AK49" i="17"/>
  <c r="AP49" i="17"/>
  <c r="AU51" i="17"/>
  <c r="AQ51" i="17"/>
  <c r="AM51" i="17"/>
  <c r="AI51" i="17"/>
  <c r="AJ51" i="17" s="1"/>
  <c r="AE51" i="17"/>
  <c r="W51" i="17"/>
  <c r="X51" i="17" s="1"/>
  <c r="S51" i="17"/>
  <c r="O51" i="17"/>
  <c r="P51" i="17"/>
  <c r="Q51" i="17" s="1"/>
  <c r="R51" i="17" s="1"/>
  <c r="U51" i="17"/>
  <c r="AF51" i="17"/>
  <c r="AG51" i="17" s="1"/>
  <c r="AK51" i="17"/>
  <c r="AP51" i="17"/>
  <c r="AV51" i="17"/>
  <c r="AR53" i="17"/>
  <c r="AN53" i="17"/>
  <c r="AB53" i="17"/>
  <c r="AU53" i="17"/>
  <c r="AV53" i="17" s="1"/>
  <c r="AQ53" i="17"/>
  <c r="AM53" i="17"/>
  <c r="AI53" i="17"/>
  <c r="AJ53" i="17" s="1"/>
  <c r="AE53" i="17"/>
  <c r="AF53" i="17" s="1"/>
  <c r="AG53" i="17" s="1"/>
  <c r="AA53" i="17"/>
  <c r="W53" i="17"/>
  <c r="X53" i="17" s="1"/>
  <c r="S53" i="17"/>
  <c r="O53" i="17"/>
  <c r="P53" i="17"/>
  <c r="AC53" i="17"/>
  <c r="AD53" i="17" s="1"/>
  <c r="AK53" i="17"/>
  <c r="AS53" i="17"/>
  <c r="V44" i="17"/>
  <c r="Z44" i="17"/>
  <c r="AA44" i="17" s="1"/>
  <c r="AD44" i="17"/>
  <c r="AH44" i="17"/>
  <c r="AL44" i="17"/>
  <c r="AM44" i="17" s="1"/>
  <c r="AP44" i="17"/>
  <c r="V45" i="17"/>
  <c r="Z45" i="17"/>
  <c r="AA45" i="17" s="1"/>
  <c r="AH45" i="17"/>
  <c r="AL45" i="17"/>
  <c r="AM45" i="17" s="1"/>
  <c r="AP45" i="17"/>
  <c r="AQ46" i="17"/>
  <c r="AM46" i="17"/>
  <c r="AI46" i="17"/>
  <c r="AJ46" i="17" s="1"/>
  <c r="AE46" i="17"/>
  <c r="V46" i="17"/>
  <c r="W46" i="17" s="1"/>
  <c r="X46" i="17" s="1"/>
  <c r="Z46" i="17"/>
  <c r="AA46" i="17" s="1"/>
  <c r="AO46" i="17"/>
  <c r="AT46" i="17"/>
  <c r="Q45" i="17" l="1"/>
  <c r="R45" i="17" s="1"/>
  <c r="X39" i="17"/>
  <c r="AC39" i="17"/>
  <c r="AG42" i="17"/>
  <c r="AM17" i="17"/>
  <c r="AV15" i="17"/>
  <c r="AF18" i="17"/>
  <c r="AG18" i="17" s="1"/>
  <c r="X12" i="17"/>
  <c r="AP10" i="17"/>
  <c r="U10" i="17"/>
  <c r="X10" i="17"/>
  <c r="AV10" i="17"/>
  <c r="X8" i="17"/>
  <c r="AA17" i="17"/>
  <c r="AA15" i="17"/>
  <c r="O43" i="17"/>
  <c r="AS43" i="17"/>
  <c r="AP43" i="17"/>
  <c r="AS21" i="17"/>
  <c r="X15" i="17"/>
  <c r="N33" i="17"/>
  <c r="O33" i="17" s="1"/>
  <c r="T33" i="17"/>
  <c r="U33" i="17" s="1"/>
  <c r="N6" i="17"/>
  <c r="T6" i="17"/>
  <c r="U6" i="17" s="1"/>
  <c r="T45" i="17"/>
  <c r="U45" i="17" s="1"/>
  <c r="Q33" i="17"/>
  <c r="R33" i="17" s="1"/>
  <c r="AV24" i="17"/>
  <c r="Q24" i="17"/>
  <c r="R24" i="17" s="1"/>
  <c r="Q23" i="17"/>
  <c r="R23" i="17" s="1"/>
  <c r="AJ17" i="17"/>
  <c r="O21" i="17"/>
  <c r="AD43" i="17"/>
  <c r="AM39" i="17"/>
  <c r="T52" i="17"/>
  <c r="U52" i="17" s="1"/>
  <c r="AM48" i="17"/>
  <c r="R17" i="17"/>
  <c r="AS22" i="17"/>
  <c r="AJ21" i="17"/>
  <c r="AI19" i="17"/>
  <c r="AJ19" i="17" s="1"/>
  <c r="X17" i="17"/>
  <c r="AD21" i="17"/>
  <c r="AA43" i="17"/>
  <c r="X43" i="17"/>
  <c r="Q13" i="17"/>
  <c r="AD11" i="17"/>
  <c r="AM37" i="17"/>
  <c r="X37" i="17"/>
  <c r="K37" i="17" s="1"/>
  <c r="X25" i="17"/>
  <c r="K31" i="17"/>
  <c r="AR46" i="17"/>
  <c r="AS46" i="17" s="1"/>
  <c r="AD54" i="17"/>
  <c r="AM54" i="17"/>
  <c r="AV54" i="17"/>
  <c r="O48" i="17"/>
  <c r="AS42" i="17"/>
  <c r="AS39" i="17"/>
  <c r="AS19" i="17"/>
  <c r="K30" i="17"/>
  <c r="T20" i="17"/>
  <c r="U20" i="17" s="1"/>
  <c r="AM15" i="17"/>
  <c r="U12" i="17"/>
  <c r="AJ12" i="17"/>
  <c r="AJ8" i="17"/>
  <c r="AI7" i="17"/>
  <c r="T34" i="17"/>
  <c r="AG43" i="17"/>
  <c r="AM43" i="17"/>
  <c r="AI34" i="17"/>
  <c r="AJ34" i="17" s="1"/>
  <c r="AP15" i="17"/>
  <c r="U15" i="17"/>
  <c r="AJ15" i="17"/>
  <c r="AG25" i="17"/>
  <c r="K26" i="17"/>
  <c r="K40" i="17"/>
  <c r="K52" i="17"/>
  <c r="K41" i="17"/>
  <c r="K23" i="17"/>
  <c r="K33" i="17"/>
  <c r="K45" i="17"/>
  <c r="AV11" i="17"/>
  <c r="K47" i="17"/>
  <c r="Q38" i="17"/>
  <c r="R38" i="17" s="1"/>
  <c r="AP48" i="17"/>
  <c r="AV35" i="17"/>
  <c r="AA35" i="17"/>
  <c r="AL35" i="17"/>
  <c r="AO17" i="17"/>
  <c r="U11" i="17"/>
  <c r="AM22" i="17"/>
  <c r="AP22" i="17"/>
  <c r="AO21" i="17"/>
  <c r="AP21" i="17" s="1"/>
  <c r="AD20" i="17"/>
  <c r="AS20" i="17"/>
  <c r="AP20" i="17"/>
  <c r="R20" i="17"/>
  <c r="AV20" i="17"/>
  <c r="AA20" i="17"/>
  <c r="AJ18" i="17"/>
  <c r="AS13" i="17"/>
  <c r="AM11" i="17"/>
  <c r="AA7" i="17"/>
  <c r="AM34" i="17"/>
  <c r="AA34" i="17"/>
  <c r="AV34" i="17"/>
  <c r="AS34" i="17"/>
  <c r="AJ13" i="17"/>
  <c r="AJ11" i="17"/>
  <c r="AJ22" i="17"/>
  <c r="AP35" i="17"/>
  <c r="T53" i="17"/>
  <c r="U53" i="17" s="1"/>
  <c r="K53" i="17" s="1"/>
  <c r="K51" i="17"/>
  <c r="K49" i="17"/>
  <c r="T47" i="17"/>
  <c r="U47" i="17" s="1"/>
  <c r="T54" i="17"/>
  <c r="U54" i="17" s="1"/>
  <c r="R54" i="17"/>
  <c r="AJ54" i="17"/>
  <c r="AG54" i="17"/>
  <c r="X48" i="17"/>
  <c r="AJ48" i="17"/>
  <c r="Q46" i="17"/>
  <c r="R46" i="17" s="1"/>
  <c r="AM42" i="17"/>
  <c r="T40" i="17"/>
  <c r="U40" i="17" s="1"/>
  <c r="AD39" i="17"/>
  <c r="AV39" i="17"/>
  <c r="AA39" i="17"/>
  <c r="AP39" i="17"/>
  <c r="AJ39" i="17"/>
  <c r="T42" i="17"/>
  <c r="U42" i="17" s="1"/>
  <c r="K27" i="17"/>
  <c r="T32" i="17"/>
  <c r="U32" i="17" s="1"/>
  <c r="K32" i="17" s="1"/>
  <c r="Q48" i="17"/>
  <c r="R48" i="17" s="1"/>
  <c r="AA19" i="17"/>
  <c r="AG13" i="17"/>
  <c r="AG7" i="17"/>
  <c r="AJ35" i="17"/>
  <c r="AM35" i="17"/>
  <c r="K24" i="17"/>
  <c r="K25" i="17"/>
  <c r="U19" i="17"/>
  <c r="O13" i="17"/>
  <c r="O11" i="17"/>
  <c r="AD9" i="17"/>
  <c r="AJ9" i="17"/>
  <c r="AP7" i="17"/>
  <c r="AJ7" i="17"/>
  <c r="X22" i="17"/>
  <c r="AA22" i="17"/>
  <c r="AV22" i="17"/>
  <c r="AM21" i="17"/>
  <c r="T13" i="17"/>
  <c r="AP34" i="17"/>
  <c r="AG20" i="17"/>
  <c r="AJ20" i="17"/>
  <c r="O20" i="17"/>
  <c r="AP18" i="17"/>
  <c r="AD16" i="17"/>
  <c r="AA16" i="17"/>
  <c r="AS16" i="17"/>
  <c r="AM16" i="17"/>
  <c r="R16" i="17"/>
  <c r="K16" i="17" s="1"/>
  <c r="AG16" i="17"/>
  <c r="AV16" i="17"/>
  <c r="AP14" i="17"/>
  <c r="U14" i="17"/>
  <c r="AO14" i="17"/>
  <c r="AM13" i="17"/>
  <c r="R13" i="17"/>
  <c r="AF10" i="17"/>
  <c r="AG10" i="17" s="1"/>
  <c r="AS10" i="17"/>
  <c r="AM10" i="17"/>
  <c r="AA10" i="17"/>
  <c r="AD10" i="17"/>
  <c r="R10" i="17"/>
  <c r="AJ10" i="17"/>
  <c r="AM9" i="17"/>
  <c r="R9" i="17"/>
  <c r="AA11" i="17"/>
  <c r="Q43" i="17"/>
  <c r="R43" i="17" s="1"/>
  <c r="T43" i="17"/>
  <c r="U43" i="17" s="1"/>
  <c r="AJ43" i="17"/>
  <c r="X34" i="17"/>
  <c r="Q34" i="17"/>
  <c r="R34" i="17" s="1"/>
  <c r="N34" i="17"/>
  <c r="O34" i="17" s="1"/>
  <c r="AG34" i="17"/>
  <c r="O19" i="17"/>
  <c r="O17" i="17"/>
  <c r="AO13" i="17"/>
  <c r="AP13" i="17" s="1"/>
  <c r="AL11" i="17"/>
  <c r="X11" i="17"/>
  <c r="R21" i="17"/>
  <c r="AG21" i="17"/>
  <c r="AS9" i="17"/>
  <c r="T38" i="17"/>
  <c r="U38" i="17" s="1"/>
  <c r="N38" i="17"/>
  <c r="O38" i="17" s="1"/>
  <c r="K38" i="17" s="1"/>
  <c r="AG22" i="17"/>
  <c r="AD18" i="17"/>
  <c r="AS18" i="17"/>
  <c r="AM18" i="17"/>
  <c r="R18" i="17"/>
  <c r="AA18" i="17"/>
  <c r="AV18" i="17"/>
  <c r="AS14" i="17"/>
  <c r="AM14" i="17"/>
  <c r="AA14" i="17"/>
  <c r="AD14" i="17"/>
  <c r="R14" i="17"/>
  <c r="AG14" i="17"/>
  <c r="AV14" i="17"/>
  <c r="U22" i="17"/>
  <c r="AD13" i="17"/>
  <c r="AV13" i="17"/>
  <c r="K44" i="17"/>
  <c r="T39" i="17"/>
  <c r="U39" i="17" s="1"/>
  <c r="N39" i="17"/>
  <c r="O39" i="17" s="1"/>
  <c r="AG48" i="17"/>
  <c r="AV48" i="17"/>
  <c r="U48" i="17"/>
  <c r="Q35" i="17"/>
  <c r="R35" i="17" s="1"/>
  <c r="AD35" i="17"/>
  <c r="AV7" i="17"/>
  <c r="Q22" i="17"/>
  <c r="R22" i="17" s="1"/>
  <c r="T21" i="17"/>
  <c r="U21" i="17" s="1"/>
  <c r="AJ14" i="17"/>
  <c r="R11" i="17"/>
  <c r="AU46" i="17"/>
  <c r="AV46" i="17" s="1"/>
  <c r="AA48" i="17"/>
  <c r="AR48" i="17"/>
  <c r="AS48" i="17" s="1"/>
  <c r="AP42" i="17"/>
  <c r="AD42" i="17"/>
  <c r="O42" i="17"/>
  <c r="AJ42" i="17"/>
  <c r="Q50" i="17"/>
  <c r="R50" i="17" s="1"/>
  <c r="K50" i="17" s="1"/>
  <c r="T35" i="17"/>
  <c r="U35" i="17" s="1"/>
  <c r="AS35" i="17"/>
  <c r="AD19" i="17"/>
  <c r="AV19" i="17"/>
  <c r="AV17" i="17"/>
  <c r="AP11" i="17"/>
  <c r="X7" i="17"/>
  <c r="Q36" i="17"/>
  <c r="R36" i="17" s="1"/>
  <c r="K36" i="17" s="1"/>
  <c r="O22" i="17"/>
  <c r="AD22" i="17"/>
  <c r="AV21" i="17"/>
  <c r="AA21" i="17"/>
  <c r="X20" i="17"/>
  <c r="AM19" i="17"/>
  <c r="R19" i="17"/>
  <c r="O18" i="17"/>
  <c r="X18" i="17"/>
  <c r="O14" i="17"/>
  <c r="AD12" i="17"/>
  <c r="AS12" i="17"/>
  <c r="AM12" i="17"/>
  <c r="AA12" i="17"/>
  <c r="R12" i="17"/>
  <c r="AG12" i="17"/>
  <c r="AV12" i="17"/>
  <c r="T9" i="17"/>
  <c r="U9" i="17" s="1"/>
  <c r="N9" i="17"/>
  <c r="O9" i="17" s="1"/>
  <c r="AD8" i="17"/>
  <c r="R8" i="17"/>
  <c r="AG8" i="17"/>
  <c r="AS8" i="17"/>
  <c r="AM8" i="17"/>
  <c r="AA8" i="17"/>
  <c r="AV8" i="17"/>
  <c r="AG17" i="17"/>
  <c r="AA13" i="17"/>
  <c r="T8" i="17"/>
  <c r="U8" i="17" s="1"/>
  <c r="U34" i="17"/>
  <c r="AP17" i="17"/>
  <c r="Q15" i="17"/>
  <c r="R15" i="17" s="1"/>
  <c r="U13" i="17"/>
  <c r="O7" i="17"/>
  <c r="K28" i="17"/>
  <c r="T17" i="17"/>
  <c r="U17" i="17" s="1"/>
  <c r="AS17" i="17"/>
  <c r="AS7" i="17"/>
  <c r="K13" i="17" l="1"/>
  <c r="K54" i="17"/>
  <c r="O6" i="17"/>
  <c r="K6" i="17" s="1"/>
  <c r="Q6" i="17"/>
  <c r="R6" i="17" s="1"/>
  <c r="K9" i="17"/>
  <c r="K15" i="17"/>
  <c r="K12" i="17"/>
  <c r="K8" i="17"/>
  <c r="K46" i="17"/>
  <c r="K35" i="17"/>
  <c r="K21" i="17"/>
  <c r="K43" i="17"/>
  <c r="K48" i="17"/>
  <c r="K10" i="17"/>
  <c r="K19" i="17"/>
  <c r="K14" i="17"/>
  <c r="K42" i="17"/>
  <c r="K39" i="17"/>
  <c r="K22" i="17"/>
  <c r="K18" i="17"/>
  <c r="K17" i="17"/>
  <c r="K11" i="17"/>
  <c r="K7" i="17"/>
  <c r="K34" i="17"/>
  <c r="K20" i="17"/>
  <c r="H53" i="16" l="1"/>
  <c r="W53" i="16" s="1"/>
  <c r="F53" i="16"/>
  <c r="AQ52" i="16"/>
  <c r="W52" i="16"/>
  <c r="V52" i="16"/>
  <c r="H52" i="16"/>
  <c r="AU52" i="16" s="1"/>
  <c r="F52" i="16"/>
  <c r="H51" i="16"/>
  <c r="AT51" i="16" s="1"/>
  <c r="F51" i="16"/>
  <c r="H50" i="16"/>
  <c r="S50" i="16" s="1"/>
  <c r="F50" i="16"/>
  <c r="AN49" i="16"/>
  <c r="AI49" i="16"/>
  <c r="S49" i="16"/>
  <c r="L49" i="16"/>
  <c r="H49" i="16"/>
  <c r="AT49" i="16" s="1"/>
  <c r="F49" i="16"/>
  <c r="AT48" i="16"/>
  <c r="AI48" i="16"/>
  <c r="W48" i="16"/>
  <c r="L48" i="16"/>
  <c r="H48" i="16"/>
  <c r="AN48" i="16" s="1"/>
  <c r="F48" i="16"/>
  <c r="H47" i="16"/>
  <c r="F47" i="16"/>
  <c r="H46" i="16"/>
  <c r="AN46" i="16" s="1"/>
  <c r="F46" i="16"/>
  <c r="AN45" i="16"/>
  <c r="S45" i="16"/>
  <c r="L45" i="16"/>
  <c r="H45" i="16"/>
  <c r="AH45" i="16" s="1"/>
  <c r="F45" i="16"/>
  <c r="H44" i="16"/>
  <c r="F44" i="16"/>
  <c r="AR43" i="16"/>
  <c r="AC43" i="16"/>
  <c r="M43" i="16"/>
  <c r="N43" i="16" s="1"/>
  <c r="H43" i="16"/>
  <c r="AT43" i="16" s="1"/>
  <c r="F43" i="16"/>
  <c r="Z42" i="16"/>
  <c r="H42" i="16"/>
  <c r="P42" i="16" s="1"/>
  <c r="F42" i="16"/>
  <c r="AT41" i="16"/>
  <c r="AN41" i="16"/>
  <c r="AB41" i="16"/>
  <c r="Q41" i="16"/>
  <c r="H41" i="16"/>
  <c r="AR41" i="16" s="1"/>
  <c r="F41" i="16"/>
  <c r="H40" i="16"/>
  <c r="P40" i="16" s="1"/>
  <c r="F40" i="16"/>
  <c r="AO39" i="16"/>
  <c r="AC39" i="16"/>
  <c r="Q39" i="16"/>
  <c r="H39" i="16"/>
  <c r="F39" i="16"/>
  <c r="H38" i="16"/>
  <c r="AT38" i="16" s="1"/>
  <c r="F38" i="16"/>
  <c r="AO37" i="16"/>
  <c r="AC37" i="16"/>
  <c r="M37" i="16"/>
  <c r="H37" i="16"/>
  <c r="AT37" i="16" s="1"/>
  <c r="F37" i="16"/>
  <c r="AT36" i="16"/>
  <c r="Z36" i="16"/>
  <c r="Y36" i="16"/>
  <c r="P36" i="16"/>
  <c r="H36" i="16"/>
  <c r="AK36" i="16" s="1"/>
  <c r="F36" i="16"/>
  <c r="AR35" i="16"/>
  <c r="AC35" i="16"/>
  <c r="Q35" i="16"/>
  <c r="H35" i="16"/>
  <c r="AN35" i="16" s="1"/>
  <c r="F35" i="16"/>
  <c r="H34" i="16"/>
  <c r="AO34" i="16" s="1"/>
  <c r="F34" i="16"/>
  <c r="Y33" i="16"/>
  <c r="V33" i="16"/>
  <c r="H33" i="16"/>
  <c r="AL33" i="16" s="1"/>
  <c r="F33" i="16"/>
  <c r="AQ32" i="16"/>
  <c r="AL32" i="16"/>
  <c r="H32" i="16"/>
  <c r="AT32" i="16" s="1"/>
  <c r="F32" i="16"/>
  <c r="AT31" i="16"/>
  <c r="Y31" i="16"/>
  <c r="M31" i="16"/>
  <c r="N31" i="16" s="1"/>
  <c r="H31" i="16"/>
  <c r="AQ31" i="16" s="1"/>
  <c r="H30" i="16"/>
  <c r="AT30" i="16" s="1"/>
  <c r="F30" i="16"/>
  <c r="AT29" i="16"/>
  <c r="AN29" i="16"/>
  <c r="AB29" i="16"/>
  <c r="L29" i="16"/>
  <c r="H29" i="16"/>
  <c r="AR29" i="16" s="1"/>
  <c r="F29" i="16"/>
  <c r="H27" i="16"/>
  <c r="AT27" i="16" s="1"/>
  <c r="F27" i="16"/>
  <c r="AO26" i="16"/>
  <c r="AC26" i="16"/>
  <c r="T26" i="16"/>
  <c r="H26" i="16"/>
  <c r="F26" i="16"/>
  <c r="H25" i="16"/>
  <c r="AT25" i="16" s="1"/>
  <c r="F25" i="16"/>
  <c r="AL24" i="16"/>
  <c r="Y24" i="16"/>
  <c r="L24" i="16"/>
  <c r="H24" i="16"/>
  <c r="AO24" i="16" s="1"/>
  <c r="F24" i="16"/>
  <c r="H23" i="16"/>
  <c r="AT23" i="16" s="1"/>
  <c r="F23" i="16"/>
  <c r="AN22" i="16"/>
  <c r="Y22" i="16"/>
  <c r="M22" i="16"/>
  <c r="N22" i="16" s="1"/>
  <c r="H22" i="16"/>
  <c r="AR22" i="16" s="1"/>
  <c r="F22" i="16"/>
  <c r="AU21" i="16"/>
  <c r="AN21" i="16"/>
  <c r="AE21" i="16"/>
  <c r="W21" i="16"/>
  <c r="M21" i="16"/>
  <c r="N21" i="16" s="1"/>
  <c r="H21" i="16"/>
  <c r="AT21" i="16" s="1"/>
  <c r="F21" i="16"/>
  <c r="AU20" i="16"/>
  <c r="AN20" i="16"/>
  <c r="AE20" i="16"/>
  <c r="W20" i="16"/>
  <c r="M20" i="16"/>
  <c r="N20" i="16" s="1"/>
  <c r="H20" i="16"/>
  <c r="AT20" i="16" s="1"/>
  <c r="F20" i="16"/>
  <c r="H19" i="16"/>
  <c r="AT19" i="16" s="1"/>
  <c r="F19" i="16"/>
  <c r="AQ18" i="16"/>
  <c r="AB18" i="16"/>
  <c r="T18" i="16"/>
  <c r="P18" i="16"/>
  <c r="L18" i="16"/>
  <c r="H18" i="16"/>
  <c r="AT18" i="16" s="1"/>
  <c r="F18" i="16"/>
  <c r="AR17" i="16"/>
  <c r="AI17" i="16"/>
  <c r="AB17" i="16"/>
  <c r="P17" i="16"/>
  <c r="H17" i="16"/>
  <c r="AT17" i="16" s="1"/>
  <c r="F17" i="16"/>
  <c r="AO16" i="16"/>
  <c r="AE16" i="16"/>
  <c r="W16" i="16"/>
  <c r="M16" i="16"/>
  <c r="N16" i="16" s="1"/>
  <c r="H16" i="16"/>
  <c r="AT16" i="16" s="1"/>
  <c r="F16" i="16"/>
  <c r="AO15" i="16"/>
  <c r="AI15" i="16"/>
  <c r="AE15" i="16"/>
  <c r="AB15" i="16"/>
  <c r="W15" i="16"/>
  <c r="T15" i="16"/>
  <c r="P15" i="16"/>
  <c r="Q15" i="16" s="1"/>
  <c r="M15" i="16"/>
  <c r="N15" i="16" s="1"/>
  <c r="L15" i="16"/>
  <c r="O15" i="16" s="1"/>
  <c r="H15" i="16"/>
  <c r="AT15" i="16" s="1"/>
  <c r="F15" i="16"/>
  <c r="H14" i="16"/>
  <c r="AT14" i="16" s="1"/>
  <c r="F14" i="16"/>
  <c r="H13" i="16"/>
  <c r="AT13" i="16" s="1"/>
  <c r="F13" i="16"/>
  <c r="AQ12" i="16"/>
  <c r="AF12" i="16"/>
  <c r="Y12" i="16"/>
  <c r="P12" i="16"/>
  <c r="H12" i="16"/>
  <c r="AT12" i="16" s="1"/>
  <c r="F12" i="16"/>
  <c r="AO11" i="16"/>
  <c r="AE11" i="16"/>
  <c r="W11" i="16"/>
  <c r="P11" i="16"/>
  <c r="H11" i="16"/>
  <c r="AT11" i="16" s="1"/>
  <c r="F11" i="16"/>
  <c r="AQ10" i="16"/>
  <c r="AI10" i="16"/>
  <c r="AB10" i="16"/>
  <c r="P10" i="16"/>
  <c r="H10" i="16"/>
  <c r="AT10" i="16" s="1"/>
  <c r="F10" i="16"/>
  <c r="H9" i="16"/>
  <c r="AT9" i="16" s="1"/>
  <c r="F9" i="16"/>
  <c r="AR8" i="16"/>
  <c r="AN8" i="16"/>
  <c r="AK8" i="16"/>
  <c r="AE8" i="16"/>
  <c r="AC8" i="16"/>
  <c r="W8" i="16"/>
  <c r="M8" i="16"/>
  <c r="L8" i="16"/>
  <c r="AS8" i="16" s="1"/>
  <c r="H8" i="16"/>
  <c r="AT8" i="16" s="1"/>
  <c r="F8" i="16"/>
  <c r="AQ7" i="16"/>
  <c r="AF7" i="16"/>
  <c r="Y7" i="16"/>
  <c r="P7" i="16"/>
  <c r="H7" i="16"/>
  <c r="AT7" i="16" s="1"/>
  <c r="F7" i="16"/>
  <c r="AQ6" i="16"/>
  <c r="AO6" i="16"/>
  <c r="AI6" i="16"/>
  <c r="AF6" i="16"/>
  <c r="AB6" i="16"/>
  <c r="Y6" i="16"/>
  <c r="P6" i="16"/>
  <c r="M6" i="16"/>
  <c r="N6" i="16" s="1"/>
  <c r="H6" i="16"/>
  <c r="AT6" i="16" s="1"/>
  <c r="F6" i="16"/>
  <c r="Y9" i="16" l="1"/>
  <c r="AI9" i="16"/>
  <c r="Q13" i="16"/>
  <c r="AI13" i="16"/>
  <c r="AB14" i="16"/>
  <c r="Q6" i="16"/>
  <c r="AB7" i="16"/>
  <c r="L6" i="16"/>
  <c r="W6" i="16"/>
  <c r="AE6" i="16"/>
  <c r="AN6" i="16"/>
  <c r="AU6" i="16"/>
  <c r="M7" i="16"/>
  <c r="N7" i="16" s="1"/>
  <c r="W7" i="16"/>
  <c r="AE7" i="16"/>
  <c r="AO7" i="16"/>
  <c r="S8" i="16"/>
  <c r="T8" i="16" s="1"/>
  <c r="U8" i="16" s="1"/>
  <c r="AB8" i="16"/>
  <c r="AI8" i="16"/>
  <c r="AJ8" i="16" s="1"/>
  <c r="AQ8" i="16"/>
  <c r="W9" i="16"/>
  <c r="AF9" i="16"/>
  <c r="AN9" i="16"/>
  <c r="AU9" i="16"/>
  <c r="M10" i="16"/>
  <c r="N10" i="16" s="1"/>
  <c r="Y10" i="16"/>
  <c r="AO10" i="16"/>
  <c r="M11" i="16"/>
  <c r="N11" i="16" s="1"/>
  <c r="T11" i="16"/>
  <c r="AC11" i="16"/>
  <c r="AN11" i="16"/>
  <c r="AU11" i="16"/>
  <c r="M12" i="16"/>
  <c r="N12" i="16" s="1"/>
  <c r="W12" i="16"/>
  <c r="AE12" i="16"/>
  <c r="AO12" i="16"/>
  <c r="P13" i="16"/>
  <c r="Y13" i="16"/>
  <c r="AF13" i="16"/>
  <c r="AO13" i="16"/>
  <c r="P14" i="16"/>
  <c r="Y14" i="16"/>
  <c r="AF14" i="16"/>
  <c r="AQ14" i="16"/>
  <c r="S15" i="16"/>
  <c r="Y15" i="16"/>
  <c r="AF15" i="16"/>
  <c r="AN15" i="16"/>
  <c r="AU15" i="16"/>
  <c r="L16" i="16"/>
  <c r="S16" i="16"/>
  <c r="AC16" i="16"/>
  <c r="AN16" i="16"/>
  <c r="AU16" i="16"/>
  <c r="M17" i="16"/>
  <c r="N17" i="16" s="1"/>
  <c r="Y17" i="16"/>
  <c r="AF17" i="16"/>
  <c r="AQ17" i="16"/>
  <c r="S18" i="16"/>
  <c r="Y18" i="16"/>
  <c r="AI18" i="16"/>
  <c r="AJ18" i="16" s="1"/>
  <c r="AO18" i="16"/>
  <c r="P19" i="16"/>
  <c r="AE19" i="16"/>
  <c r="AK19" i="16"/>
  <c r="AR19" i="16"/>
  <c r="L20" i="16"/>
  <c r="S20" i="16"/>
  <c r="AC20" i="16"/>
  <c r="AK20" i="16"/>
  <c r="AR20" i="16"/>
  <c r="L21" i="16"/>
  <c r="S21" i="16"/>
  <c r="AC21" i="16"/>
  <c r="AK21" i="16"/>
  <c r="AR21" i="16"/>
  <c r="L22" i="16"/>
  <c r="W22" i="16"/>
  <c r="AH22" i="16"/>
  <c r="AT22" i="16"/>
  <c r="V24" i="16"/>
  <c r="AH24" i="16"/>
  <c r="AR24" i="16"/>
  <c r="AS24" i="16" s="1"/>
  <c r="M26" i="16"/>
  <c r="N26" i="16" s="1"/>
  <c r="AB26" i="16"/>
  <c r="AN26" i="16"/>
  <c r="AT26" i="16"/>
  <c r="Y29" i="16"/>
  <c r="AL29" i="16"/>
  <c r="AS29" i="16"/>
  <c r="W31" i="16"/>
  <c r="AI31" i="16"/>
  <c r="V32" i="16"/>
  <c r="AR33" i="16"/>
  <c r="AT34" i="16"/>
  <c r="M35" i="16"/>
  <c r="N35" i="16" s="1"/>
  <c r="AB35" i="16"/>
  <c r="AO35" i="16"/>
  <c r="L37" i="16"/>
  <c r="AB37" i="16"/>
  <c r="AN37" i="16"/>
  <c r="AO38" i="16"/>
  <c r="M39" i="16"/>
  <c r="N39" i="16" s="1"/>
  <c r="AB39" i="16"/>
  <c r="AN39" i="16"/>
  <c r="AT39" i="16"/>
  <c r="AK40" i="16"/>
  <c r="M41" i="16"/>
  <c r="N41" i="16" s="1"/>
  <c r="Y41" i="16"/>
  <c r="AL41" i="16"/>
  <c r="L43" i="16"/>
  <c r="AB43" i="16"/>
  <c r="AN43" i="16"/>
  <c r="AI45" i="16"/>
  <c r="V48" i="16"/>
  <c r="AH48" i="16"/>
  <c r="AQ48" i="16"/>
  <c r="AR48" i="16" s="1"/>
  <c r="AL52" i="16"/>
  <c r="AO9" i="16"/>
  <c r="AQ13" i="16"/>
  <c r="S14" i="16"/>
  <c r="T14" i="16" s="1"/>
  <c r="U14" i="16" s="1"/>
  <c r="AR14" i="16"/>
  <c r="AV15" i="16"/>
  <c r="S19" i="16"/>
  <c r="Y19" i="16"/>
  <c r="AN19" i="16"/>
  <c r="AU19" i="16"/>
  <c r="R39" i="16"/>
  <c r="P9" i="16"/>
  <c r="Q10" i="16"/>
  <c r="AI14" i="16"/>
  <c r="Q7" i="16"/>
  <c r="R7" i="16" s="1"/>
  <c r="AK7" i="16"/>
  <c r="AR7" i="16"/>
  <c r="AU7" i="16" s="1"/>
  <c r="X8" i="16"/>
  <c r="L9" i="16"/>
  <c r="AS9" i="16" s="1"/>
  <c r="S9" i="16"/>
  <c r="AB9" i="16"/>
  <c r="AC9" i="16" s="1"/>
  <c r="AQ9" i="16"/>
  <c r="S10" i="16"/>
  <c r="AC10" i="16"/>
  <c r="AK10" i="16"/>
  <c r="AR10" i="16"/>
  <c r="Y11" i="16"/>
  <c r="AI11" i="16"/>
  <c r="AQ11" i="16"/>
  <c r="Q12" i="16"/>
  <c r="AB12" i="16"/>
  <c r="AK12" i="16"/>
  <c r="AR12" i="16"/>
  <c r="L13" i="16"/>
  <c r="AG13" i="16" s="1"/>
  <c r="S13" i="16"/>
  <c r="T13" i="16" s="1"/>
  <c r="AC13" i="16"/>
  <c r="AK13" i="16"/>
  <c r="AR13" i="16"/>
  <c r="L14" i="16"/>
  <c r="AC14" i="16"/>
  <c r="AK14" i="16"/>
  <c r="AU14" i="16"/>
  <c r="AV14" i="16" s="1"/>
  <c r="AC15" i="16"/>
  <c r="AJ15" i="16"/>
  <c r="AQ15" i="16"/>
  <c r="P16" i="16"/>
  <c r="Y16" i="16"/>
  <c r="AF16" i="16"/>
  <c r="AQ16" i="16"/>
  <c r="S17" i="16"/>
  <c r="T17" i="16" s="1"/>
  <c r="AC17" i="16"/>
  <c r="AK17" i="16"/>
  <c r="AU17" i="16"/>
  <c r="M18" i="16"/>
  <c r="N18" i="16" s="1"/>
  <c r="O18" i="16" s="1"/>
  <c r="W18" i="16"/>
  <c r="AC18" i="16"/>
  <c r="AK18" i="16"/>
  <c r="AR18" i="16"/>
  <c r="AS18" i="16" s="1"/>
  <c r="L19" i="16"/>
  <c r="X19" i="16" s="1"/>
  <c r="T19" i="16"/>
  <c r="AB19" i="16"/>
  <c r="AI19" i="16"/>
  <c r="AJ19" i="16" s="1"/>
  <c r="AO19" i="16"/>
  <c r="P20" i="16"/>
  <c r="T20" i="16" s="1"/>
  <c r="Y20" i="16"/>
  <c r="AF20" i="16"/>
  <c r="AO20" i="16"/>
  <c r="P21" i="16"/>
  <c r="T21" i="16" s="1"/>
  <c r="Y21" i="16"/>
  <c r="AF21" i="16"/>
  <c r="AO21" i="16"/>
  <c r="P22" i="16"/>
  <c r="Q22" i="16" s="1"/>
  <c r="AB22" i="16"/>
  <c r="AO22" i="16"/>
  <c r="M24" i="16"/>
  <c r="N24" i="16" s="1"/>
  <c r="AB24" i="16"/>
  <c r="AN24" i="16"/>
  <c r="AT24" i="16"/>
  <c r="V26" i="16"/>
  <c r="AH26" i="16"/>
  <c r="AR26" i="16"/>
  <c r="M29" i="16"/>
  <c r="T29" i="16" s="1"/>
  <c r="AC29" i="16"/>
  <c r="AO29" i="16"/>
  <c r="AC31" i="16"/>
  <c r="V35" i="16"/>
  <c r="AH35" i="16"/>
  <c r="AT35" i="16"/>
  <c r="V37" i="16"/>
  <c r="AH37" i="16"/>
  <c r="AR37" i="16"/>
  <c r="P38" i="16"/>
  <c r="V39" i="16"/>
  <c r="AH39" i="16"/>
  <c r="AR39" i="16"/>
  <c r="AC41" i="16"/>
  <c r="AO41" i="16"/>
  <c r="V43" i="16"/>
  <c r="AH43" i="16"/>
  <c r="AS43" i="16"/>
  <c r="AB45" i="16"/>
  <c r="AT45" i="16"/>
  <c r="P48" i="16"/>
  <c r="AB48" i="16"/>
  <c r="AL48" i="16"/>
  <c r="AB49" i="16"/>
  <c r="AR49" i="16"/>
  <c r="AE52" i="16"/>
  <c r="AT52" i="16"/>
  <c r="AF11" i="16"/>
  <c r="AB13" i="16"/>
  <c r="S6" i="16"/>
  <c r="AC6" i="16"/>
  <c r="AD6" i="16" s="1"/>
  <c r="AK6" i="16"/>
  <c r="AR6" i="16"/>
  <c r="L7" i="16"/>
  <c r="S7" i="16"/>
  <c r="T7" i="16" s="1"/>
  <c r="U7" i="16" s="1"/>
  <c r="AC7" i="16"/>
  <c r="AN7" i="16"/>
  <c r="P8" i="16"/>
  <c r="Q8" i="16" s="1"/>
  <c r="Y8" i="16"/>
  <c r="AF8" i="16"/>
  <c r="AO8" i="16"/>
  <c r="AU8" i="16"/>
  <c r="AV8" i="16" s="1"/>
  <c r="M9" i="16"/>
  <c r="AE9" i="16"/>
  <c r="AK9" i="16"/>
  <c r="AR9" i="16"/>
  <c r="L10" i="16"/>
  <c r="AS10" i="16" s="1"/>
  <c r="W10" i="16"/>
  <c r="AE10" i="16"/>
  <c r="AF10" i="16" s="1"/>
  <c r="AN10" i="16"/>
  <c r="AU10" i="16"/>
  <c r="L11" i="16"/>
  <c r="AJ11" i="16" s="1"/>
  <c r="S11" i="16"/>
  <c r="AB11" i="16"/>
  <c r="AK11" i="16"/>
  <c r="AR11" i="16"/>
  <c r="L12" i="16"/>
  <c r="S12" i="16"/>
  <c r="T12" i="16" s="1"/>
  <c r="AC12" i="16"/>
  <c r="AD12" i="16" s="1"/>
  <c r="AN12" i="16"/>
  <c r="AU12" i="16"/>
  <c r="M13" i="16"/>
  <c r="N13" i="16" s="1"/>
  <c r="W13" i="16"/>
  <c r="AE13" i="16"/>
  <c r="AN13" i="16"/>
  <c r="AU13" i="16"/>
  <c r="M14" i="16"/>
  <c r="N14" i="16" s="1"/>
  <c r="O14" i="16" s="1"/>
  <c r="W14" i="16"/>
  <c r="AE14" i="16"/>
  <c r="AN14" i="16"/>
  <c r="AO14" i="16" s="1"/>
  <c r="X15" i="16"/>
  <c r="AK15" i="16"/>
  <c r="AR15" i="16"/>
  <c r="Q16" i="16"/>
  <c r="AB16" i="16"/>
  <c r="AK16" i="16"/>
  <c r="AR16" i="16"/>
  <c r="L17" i="16"/>
  <c r="W17" i="16"/>
  <c r="AE17" i="16"/>
  <c r="AN17" i="16"/>
  <c r="AO17" i="16" s="1"/>
  <c r="X18" i="16"/>
  <c r="AE18" i="16"/>
  <c r="AF18" i="16" s="1"/>
  <c r="AG18" i="16" s="1"/>
  <c r="AN18" i="16"/>
  <c r="AU18" i="16"/>
  <c r="M19" i="16"/>
  <c r="N19" i="16" s="1"/>
  <c r="O19" i="16" s="1"/>
  <c r="W19" i="16"/>
  <c r="AC19" i="16"/>
  <c r="AQ19" i="16"/>
  <c r="Q20" i="16"/>
  <c r="AB20" i="16"/>
  <c r="AI20" i="16"/>
  <c r="AQ20" i="16"/>
  <c r="Q21" i="16"/>
  <c r="AB21" i="16"/>
  <c r="AI21" i="16"/>
  <c r="AQ21" i="16"/>
  <c r="S22" i="16"/>
  <c r="AC22" i="16"/>
  <c r="T24" i="16"/>
  <c r="AC24" i="16"/>
  <c r="L26" i="16"/>
  <c r="AS26" i="16" s="1"/>
  <c r="Y26" i="16"/>
  <c r="Z26" i="16" s="1"/>
  <c r="AL26" i="16"/>
  <c r="V29" i="16"/>
  <c r="AH29" i="16"/>
  <c r="S31" i="16"/>
  <c r="AH31" i="16"/>
  <c r="AN33" i="16"/>
  <c r="Y34" i="16"/>
  <c r="L35" i="16"/>
  <c r="AS35" i="16" s="1"/>
  <c r="Y35" i="16"/>
  <c r="Y37" i="16"/>
  <c r="AL37" i="16"/>
  <c r="AK38" i="16"/>
  <c r="L39" i="16"/>
  <c r="AS39" i="16" s="1"/>
  <c r="Y39" i="16"/>
  <c r="AL39" i="16"/>
  <c r="L41" i="16"/>
  <c r="R41" i="16" s="1"/>
  <c r="V41" i="16"/>
  <c r="AH41" i="16"/>
  <c r="Y43" i="16"/>
  <c r="AL43" i="16"/>
  <c r="S48" i="16"/>
  <c r="AF48" i="16"/>
  <c r="AH49" i="16"/>
  <c r="S52" i="16"/>
  <c r="AI52" i="16"/>
  <c r="O6" i="16"/>
  <c r="T6" i="16"/>
  <c r="U6" i="16" s="1"/>
  <c r="AV7" i="16"/>
  <c r="AG8" i="16"/>
  <c r="T10" i="16"/>
  <c r="U10" i="16" s="1"/>
  <c r="U11" i="16"/>
  <c r="AV11" i="16"/>
  <c r="AS12" i="16"/>
  <c r="AG12" i="16"/>
  <c r="U12" i="16"/>
  <c r="X12" i="16"/>
  <c r="AV12" i="16"/>
  <c r="X13" i="16"/>
  <c r="AS14" i="16"/>
  <c r="AG14" i="16"/>
  <c r="U18" i="16"/>
  <c r="AV18" i="16"/>
  <c r="AG7" i="16"/>
  <c r="AG11" i="16"/>
  <c r="AS16" i="16"/>
  <c r="AG16" i="16"/>
  <c r="X16" i="16"/>
  <c r="AV16" i="16"/>
  <c r="AS17" i="16"/>
  <c r="AG17" i="16"/>
  <c r="U17" i="16"/>
  <c r="AV17" i="16"/>
  <c r="AG6" i="16"/>
  <c r="AJ6" i="16" s="1"/>
  <c r="AM6" i="16" s="1"/>
  <c r="AP6" i="16" s="1"/>
  <c r="AS6" i="16" s="1"/>
  <c r="AV6" i="16" s="1"/>
  <c r="X7" i="16"/>
  <c r="AS7" i="16"/>
  <c r="X11" i="16"/>
  <c r="AS11" i="16"/>
  <c r="AS15" i="16"/>
  <c r="AG15" i="16"/>
  <c r="U15" i="16"/>
  <c r="AS20" i="16"/>
  <c r="AG20" i="16"/>
  <c r="U20" i="16"/>
  <c r="AV20" i="16"/>
  <c r="AJ20" i="16"/>
  <c r="X20" i="16"/>
  <c r="O20" i="16"/>
  <c r="O7" i="16"/>
  <c r="X10" i="16"/>
  <c r="O11" i="16"/>
  <c r="X14" i="16"/>
  <c r="AJ14" i="16"/>
  <c r="O16" i="16"/>
  <c r="O17" i="16"/>
  <c r="AJ17" i="16"/>
  <c r="AS19" i="16"/>
  <c r="U19" i="16"/>
  <c r="AV19" i="16"/>
  <c r="R6" i="16"/>
  <c r="V6" i="16"/>
  <c r="Z6" i="16" s="1"/>
  <c r="AA6" i="16" s="1"/>
  <c r="AH6" i="16"/>
  <c r="AL6" i="16"/>
  <c r="V7" i="16"/>
  <c r="Z7" i="16"/>
  <c r="AA7" i="16" s="1"/>
  <c r="AD7" i="16"/>
  <c r="AH7" i="16"/>
  <c r="AI7" i="16" s="1"/>
  <c r="AJ7" i="16" s="1"/>
  <c r="AL7" i="16"/>
  <c r="AM7" i="16" s="1"/>
  <c r="AP7" i="16"/>
  <c r="N8" i="16"/>
  <c r="O8" i="16" s="1"/>
  <c r="R8" i="16"/>
  <c r="V8" i="16"/>
  <c r="Z8" i="16"/>
  <c r="AA8" i="16" s="1"/>
  <c r="AD8" i="16"/>
  <c r="AH8" i="16"/>
  <c r="AL8" i="16" s="1"/>
  <c r="AM8" i="16" s="1"/>
  <c r="AP8" i="16"/>
  <c r="V9" i="16"/>
  <c r="Z9" i="16"/>
  <c r="AD9" i="16"/>
  <c r="AH9" i="16"/>
  <c r="AL9" i="16"/>
  <c r="AM9" i="16" s="1"/>
  <c r="V10" i="16"/>
  <c r="Z10" i="16"/>
  <c r="AA10" i="16" s="1"/>
  <c r="AH10" i="16"/>
  <c r="AL10" i="16"/>
  <c r="AP10" i="16"/>
  <c r="V11" i="16"/>
  <c r="Z11" i="16"/>
  <c r="AA11" i="16" s="1"/>
  <c r="AD11" i="16"/>
  <c r="AH11" i="16"/>
  <c r="AL11" i="16"/>
  <c r="AM11" i="16" s="1"/>
  <c r="AP11" i="16"/>
  <c r="R12" i="16"/>
  <c r="V12" i="16"/>
  <c r="Z12" i="16"/>
  <c r="AA12" i="16" s="1"/>
  <c r="AH12" i="16"/>
  <c r="AI12" i="16" s="1"/>
  <c r="AJ12" i="16" s="1"/>
  <c r="AL12" i="16"/>
  <c r="AM12" i="16" s="1"/>
  <c r="AP12" i="16"/>
  <c r="V13" i="16"/>
  <c r="Z13" i="16"/>
  <c r="AD13" i="16"/>
  <c r="AH13" i="16"/>
  <c r="AL13" i="16" s="1"/>
  <c r="AM13" i="16" s="1"/>
  <c r="AP13" i="16"/>
  <c r="V14" i="16"/>
  <c r="Z14" i="16"/>
  <c r="AA14" i="16" s="1"/>
  <c r="AD14" i="16"/>
  <c r="AH14" i="16"/>
  <c r="AL14" i="16"/>
  <c r="AM14" i="16" s="1"/>
  <c r="AP14" i="16"/>
  <c r="R15" i="16"/>
  <c r="V15" i="16"/>
  <c r="Z15" i="16" s="1"/>
  <c r="AA15" i="16" s="1"/>
  <c r="AD15" i="16"/>
  <c r="AH15" i="16"/>
  <c r="AL15" i="16"/>
  <c r="AM15" i="16" s="1"/>
  <c r="AP15" i="16"/>
  <c r="R16" i="16"/>
  <c r="V16" i="16"/>
  <c r="Z16" i="16"/>
  <c r="AA16" i="16" s="1"/>
  <c r="AD16" i="16"/>
  <c r="AH16" i="16"/>
  <c r="AI16" i="16" s="1"/>
  <c r="AJ16" i="16" s="1"/>
  <c r="AL16" i="16"/>
  <c r="AM16" i="16" s="1"/>
  <c r="AP16" i="16"/>
  <c r="V17" i="16"/>
  <c r="Z17" i="16"/>
  <c r="AA17" i="16" s="1"/>
  <c r="AD17" i="16"/>
  <c r="AH17" i="16"/>
  <c r="AL17" i="16"/>
  <c r="AM17" i="16" s="1"/>
  <c r="AP17" i="16"/>
  <c r="V18" i="16"/>
  <c r="Z18" i="16"/>
  <c r="AA18" i="16" s="1"/>
  <c r="AD18" i="16"/>
  <c r="AH18" i="16"/>
  <c r="AL18" i="16"/>
  <c r="AM18" i="16" s="1"/>
  <c r="AP18" i="16"/>
  <c r="V19" i="16"/>
  <c r="Z19" i="16"/>
  <c r="AA19" i="16" s="1"/>
  <c r="AD19" i="16"/>
  <c r="AH19" i="16"/>
  <c r="AL19" i="16"/>
  <c r="AM19" i="16" s="1"/>
  <c r="AP19" i="16"/>
  <c r="R20" i="16"/>
  <c r="V20" i="16"/>
  <c r="Z20" i="16"/>
  <c r="AA20" i="16" s="1"/>
  <c r="AD20" i="16"/>
  <c r="AH20" i="16"/>
  <c r="AL20" i="16" s="1"/>
  <c r="AM20" i="16" s="1"/>
  <c r="AP20" i="16"/>
  <c r="R21" i="16"/>
  <c r="V21" i="16"/>
  <c r="Z21" i="16"/>
  <c r="AD21" i="16"/>
  <c r="AH21" i="16"/>
  <c r="AL21" i="16" s="1"/>
  <c r="AM21" i="16" s="1"/>
  <c r="AP21" i="16"/>
  <c r="AU22" i="16"/>
  <c r="AQ22" i="16"/>
  <c r="AI22" i="16"/>
  <c r="AJ22" i="16" s="1"/>
  <c r="AE22" i="16"/>
  <c r="R22" i="16"/>
  <c r="V22" i="16"/>
  <c r="Z22" i="16"/>
  <c r="AA22" i="16" s="1"/>
  <c r="AF22" i="16"/>
  <c r="AK22" i="16"/>
  <c r="AL22" i="16" s="1"/>
  <c r="AM22" i="16" s="1"/>
  <c r="AP22" i="16"/>
  <c r="AV22" i="16"/>
  <c r="M23" i="16"/>
  <c r="N23" i="16" s="1"/>
  <c r="AC23" i="16"/>
  <c r="AH23" i="16"/>
  <c r="AN23" i="16"/>
  <c r="AU24" i="16"/>
  <c r="AV24" i="16" s="1"/>
  <c r="AQ24" i="16"/>
  <c r="AM24" i="16"/>
  <c r="AI24" i="16"/>
  <c r="AJ24" i="16" s="1"/>
  <c r="AE24" i="16"/>
  <c r="AA24" i="16"/>
  <c r="S24" i="16"/>
  <c r="O24" i="16"/>
  <c r="P24" i="16"/>
  <c r="Q24" i="16" s="1"/>
  <c r="R24" i="16" s="1"/>
  <c r="U24" i="16"/>
  <c r="Z24" i="16"/>
  <c r="AF24" i="16"/>
  <c r="AK24" i="16"/>
  <c r="AP24" i="16"/>
  <c r="M25" i="16"/>
  <c r="N25" i="16" s="1"/>
  <c r="AC25" i="16"/>
  <c r="AH25" i="16"/>
  <c r="AN25" i="16"/>
  <c r="AU26" i="16"/>
  <c r="AQ26" i="16"/>
  <c r="AM26" i="16"/>
  <c r="AI26" i="16"/>
  <c r="AJ26" i="16" s="1"/>
  <c r="AE26" i="16"/>
  <c r="AA26" i="16"/>
  <c r="W26" i="16"/>
  <c r="X26" i="16" s="1"/>
  <c r="S26" i="16"/>
  <c r="O26" i="16"/>
  <c r="P26" i="16"/>
  <c r="Q26" i="16" s="1"/>
  <c r="R26" i="16" s="1"/>
  <c r="U26" i="16"/>
  <c r="AF26" i="16"/>
  <c r="AK26" i="16"/>
  <c r="AV26" i="16"/>
  <c r="M27" i="16"/>
  <c r="N27" i="16" s="1"/>
  <c r="AC27" i="16"/>
  <c r="AH27" i="16"/>
  <c r="AN27" i="16"/>
  <c r="AU29" i="16"/>
  <c r="AV29" i="16" s="1"/>
  <c r="AQ29" i="16"/>
  <c r="AM29" i="16"/>
  <c r="AI29" i="16"/>
  <c r="AJ29" i="16" s="1"/>
  <c r="AE29" i="16"/>
  <c r="W29" i="16"/>
  <c r="X29" i="16" s="1"/>
  <c r="S29" i="16"/>
  <c r="P29" i="16"/>
  <c r="Q29" i="16" s="1"/>
  <c r="R29" i="16" s="1"/>
  <c r="U29" i="16"/>
  <c r="AF29" i="16"/>
  <c r="AK29" i="16"/>
  <c r="M30" i="16"/>
  <c r="N30" i="16" s="1"/>
  <c r="AC30" i="16"/>
  <c r="AH30" i="16"/>
  <c r="AN30" i="16"/>
  <c r="V31" i="16"/>
  <c r="AL31" i="16"/>
  <c r="S32" i="16"/>
  <c r="Y32" i="16"/>
  <c r="AI32" i="16"/>
  <c r="AO32" i="16"/>
  <c r="M33" i="16"/>
  <c r="AC33" i="16"/>
  <c r="AU36" i="16"/>
  <c r="AQ36" i="16"/>
  <c r="AI36" i="16"/>
  <c r="AE36" i="16"/>
  <c r="W36" i="16"/>
  <c r="S36" i="16"/>
  <c r="T36" i="16" s="1"/>
  <c r="AR36" i="16"/>
  <c r="AL36" i="16"/>
  <c r="AB36" i="16"/>
  <c r="V36" i="16"/>
  <c r="L36" i="16"/>
  <c r="AG36" i="16" s="1"/>
  <c r="AN36" i="16"/>
  <c r="AO36" i="16" s="1"/>
  <c r="AH36" i="16"/>
  <c r="AC36" i="16"/>
  <c r="M36" i="16"/>
  <c r="N36" i="16" s="1"/>
  <c r="AF36" i="16"/>
  <c r="Y38" i="16"/>
  <c r="AD39" i="16"/>
  <c r="Z40" i="16"/>
  <c r="AU42" i="16"/>
  <c r="AQ42" i="16"/>
  <c r="AI42" i="16"/>
  <c r="AE42" i="16"/>
  <c r="W42" i="16"/>
  <c r="S42" i="16"/>
  <c r="T42" i="16" s="1"/>
  <c r="AR42" i="16"/>
  <c r="AB42" i="16"/>
  <c r="V42" i="16"/>
  <c r="Q42" i="16"/>
  <c r="L42" i="16"/>
  <c r="AA42" i="16" s="1"/>
  <c r="AK42" i="16"/>
  <c r="AF42" i="16"/>
  <c r="AT42" i="16"/>
  <c r="AO42" i="16"/>
  <c r="AJ42" i="16"/>
  <c r="Y42" i="16"/>
  <c r="AS42" i="16"/>
  <c r="AN42" i="16"/>
  <c r="AH42" i="16"/>
  <c r="AC42" i="16"/>
  <c r="X42" i="16"/>
  <c r="M42" i="16"/>
  <c r="N42" i="16" s="1"/>
  <c r="O21" i="16"/>
  <c r="AA21" i="16"/>
  <c r="O22" i="16"/>
  <c r="AG22" i="16"/>
  <c r="Y23" i="16"/>
  <c r="AO23" i="16"/>
  <c r="W24" i="16"/>
  <c r="X24" i="16" s="1"/>
  <c r="AG24" i="16"/>
  <c r="T25" i="16"/>
  <c r="Y25" i="16"/>
  <c r="AO25" i="16"/>
  <c r="AP26" i="16" s="1"/>
  <c r="AG26" i="16"/>
  <c r="T27" i="16"/>
  <c r="Y27" i="16"/>
  <c r="AO27" i="16"/>
  <c r="AG29" i="16"/>
  <c r="Y30" i="16"/>
  <c r="AO30" i="16"/>
  <c r="AR32" i="16"/>
  <c r="AN32" i="16"/>
  <c r="AB32" i="16"/>
  <c r="P32" i="16"/>
  <c r="L32" i="16"/>
  <c r="Z32" i="16"/>
  <c r="AE32" i="16"/>
  <c r="AF32" i="16" s="1"/>
  <c r="AK32" i="16"/>
  <c r="AP32" i="16"/>
  <c r="AU32" i="16"/>
  <c r="AU34" i="16"/>
  <c r="AQ34" i="16"/>
  <c r="AI34" i="16"/>
  <c r="AE34" i="16"/>
  <c r="W34" i="16"/>
  <c r="S34" i="16"/>
  <c r="AR34" i="16"/>
  <c r="AB34" i="16"/>
  <c r="V34" i="16"/>
  <c r="Q34" i="16"/>
  <c r="L34" i="16"/>
  <c r="AJ34" i="16" s="1"/>
  <c r="AN34" i="16"/>
  <c r="AH34" i="16"/>
  <c r="AC34" i="16"/>
  <c r="M34" i="16"/>
  <c r="N34" i="16" s="1"/>
  <c r="AF34" i="16"/>
  <c r="R35" i="16"/>
  <c r="AD37" i="16"/>
  <c r="AU40" i="16"/>
  <c r="AQ40" i="16"/>
  <c r="AI40" i="16"/>
  <c r="AE40" i="16"/>
  <c r="W40" i="16"/>
  <c r="X40" i="16" s="1"/>
  <c r="S40" i="16"/>
  <c r="AR40" i="16"/>
  <c r="AL40" i="16"/>
  <c r="AB40" i="16"/>
  <c r="V40" i="16"/>
  <c r="L40" i="16"/>
  <c r="AT40" i="16"/>
  <c r="AO40" i="16"/>
  <c r="Y40" i="16"/>
  <c r="AS40" i="16"/>
  <c r="AN40" i="16"/>
  <c r="AH40" i="16"/>
  <c r="AC40" i="16"/>
  <c r="AD40" i="16" s="1"/>
  <c r="M40" i="16"/>
  <c r="X21" i="16"/>
  <c r="AJ21" i="16"/>
  <c r="AV21" i="16"/>
  <c r="T22" i="16"/>
  <c r="X22" i="16"/>
  <c r="AS22" i="16"/>
  <c r="AQ23" i="16"/>
  <c r="AI23" i="16"/>
  <c r="AE23" i="16"/>
  <c r="W23" i="16"/>
  <c r="S23" i="16"/>
  <c r="P23" i="16"/>
  <c r="Q23" i="16" s="1"/>
  <c r="Z23" i="16"/>
  <c r="AF23" i="16"/>
  <c r="AG23" i="16" s="1"/>
  <c r="AK23" i="16"/>
  <c r="AU25" i="16"/>
  <c r="AQ25" i="16"/>
  <c r="AI25" i="16"/>
  <c r="AE25" i="16"/>
  <c r="W25" i="16"/>
  <c r="S25" i="16"/>
  <c r="P25" i="16"/>
  <c r="Q25" i="16" s="1"/>
  <c r="AF25" i="16"/>
  <c r="AK25" i="16"/>
  <c r="AU27" i="16"/>
  <c r="AQ27" i="16"/>
  <c r="AR27" i="16" s="1"/>
  <c r="AI27" i="16"/>
  <c r="AE27" i="16"/>
  <c r="W27" i="16"/>
  <c r="S27" i="16"/>
  <c r="P27" i="16"/>
  <c r="AF27" i="16"/>
  <c r="AK27" i="16"/>
  <c r="AU30" i="16"/>
  <c r="AQ30" i="16"/>
  <c r="AI30" i="16"/>
  <c r="AE30" i="16"/>
  <c r="W30" i="16"/>
  <c r="S30" i="16"/>
  <c r="P30" i="16"/>
  <c r="Z30" i="16"/>
  <c r="AF30" i="16"/>
  <c r="AK30" i="16"/>
  <c r="AL30" i="16" s="1"/>
  <c r="AM30" i="16" s="1"/>
  <c r="AD35" i="16"/>
  <c r="T37" i="16"/>
  <c r="U37" i="16" s="1"/>
  <c r="N37" i="16"/>
  <c r="Q40" i="16"/>
  <c r="U21" i="16"/>
  <c r="AG21" i="16"/>
  <c r="U22" i="16"/>
  <c r="AD22" i="16"/>
  <c r="L23" i="16"/>
  <c r="V23" i="16"/>
  <c r="AB23" i="16"/>
  <c r="AL23" i="16"/>
  <c r="AD24" i="16"/>
  <c r="L25" i="16"/>
  <c r="V25" i="16"/>
  <c r="AB25" i="16"/>
  <c r="AL25" i="16"/>
  <c r="AR25" i="16"/>
  <c r="AD26" i="16"/>
  <c r="L27" i="16"/>
  <c r="X27" i="16" s="1"/>
  <c r="Q27" i="16"/>
  <c r="V27" i="16"/>
  <c r="AB27" i="16"/>
  <c r="AG27" i="16"/>
  <c r="AL27" i="16"/>
  <c r="N29" i="16"/>
  <c r="O29" i="16" s="1"/>
  <c r="AD29" i="16"/>
  <c r="L30" i="16"/>
  <c r="O30" i="16" s="1"/>
  <c r="Q30" i="16"/>
  <c r="V30" i="16"/>
  <c r="AB30" i="16"/>
  <c r="AG30" i="16"/>
  <c r="AR30" i="16"/>
  <c r="AR31" i="16"/>
  <c r="AN31" i="16"/>
  <c r="AO31" i="16" s="1"/>
  <c r="AF31" i="16"/>
  <c r="AB31" i="16"/>
  <c r="P31" i="16"/>
  <c r="Q31" i="16" s="1"/>
  <c r="L31" i="16"/>
  <c r="O31" i="16" s="1"/>
  <c r="Z31" i="16"/>
  <c r="AE31" i="16"/>
  <c r="AK31" i="16"/>
  <c r="AU31" i="16"/>
  <c r="M32" i="16"/>
  <c r="W32" i="16"/>
  <c r="X32" i="16" s="1"/>
  <c r="AC32" i="16"/>
  <c r="AH32" i="16"/>
  <c r="AM32" i="16"/>
  <c r="AS32" i="16"/>
  <c r="AU33" i="16"/>
  <c r="AQ33" i="16"/>
  <c r="AI33" i="16"/>
  <c r="AT33" i="16"/>
  <c r="AO33" i="16"/>
  <c r="AE33" i="16"/>
  <c r="W33" i="16"/>
  <c r="S33" i="16"/>
  <c r="AP33" i="16"/>
  <c r="AK33" i="16"/>
  <c r="AB33" i="16"/>
  <c r="P33" i="16"/>
  <c r="Q33" i="16" s="1"/>
  <c r="R33" i="16" s="1"/>
  <c r="L33" i="16"/>
  <c r="AV33" i="16" s="1"/>
  <c r="Z33" i="16"/>
  <c r="AA33" i="16" s="1"/>
  <c r="AH33" i="16"/>
  <c r="AS33" i="16"/>
  <c r="P34" i="16"/>
  <c r="Z34" i="16"/>
  <c r="AK34" i="16"/>
  <c r="AL34" i="16" s="1"/>
  <c r="AV34" i="16"/>
  <c r="AU38" i="16"/>
  <c r="AQ38" i="16"/>
  <c r="AI38" i="16"/>
  <c r="AE38" i="16"/>
  <c r="W38" i="16"/>
  <c r="S38" i="16"/>
  <c r="AR38" i="16"/>
  <c r="AL38" i="16"/>
  <c r="AB38" i="16"/>
  <c r="V38" i="16"/>
  <c r="L38" i="16"/>
  <c r="AJ38" i="16" s="1"/>
  <c r="AN38" i="16"/>
  <c r="AH38" i="16"/>
  <c r="AC38" i="16"/>
  <c r="M38" i="16"/>
  <c r="AF38" i="16"/>
  <c r="AP38" i="16"/>
  <c r="AP40" i="16"/>
  <c r="AU35" i="16"/>
  <c r="AV35" i="16" s="1"/>
  <c r="AQ35" i="16"/>
  <c r="AM35" i="16"/>
  <c r="AI35" i="16"/>
  <c r="AJ35" i="16" s="1"/>
  <c r="AE35" i="16"/>
  <c r="W35" i="16"/>
  <c r="X35" i="16" s="1"/>
  <c r="S35" i="16"/>
  <c r="O35" i="16"/>
  <c r="P35" i="16"/>
  <c r="Z35" i="16"/>
  <c r="AA35" i="16" s="1"/>
  <c r="AF35" i="16"/>
  <c r="AG35" i="16" s="1"/>
  <c r="AK35" i="16"/>
  <c r="AL35" i="16" s="1"/>
  <c r="AP35" i="16"/>
  <c r="AU37" i="16"/>
  <c r="AQ37" i="16"/>
  <c r="AM37" i="16"/>
  <c r="AI37" i="16"/>
  <c r="AJ37" i="16" s="1"/>
  <c r="AE37" i="16"/>
  <c r="S37" i="16"/>
  <c r="W37" i="16" s="1"/>
  <c r="X37" i="16" s="1"/>
  <c r="O37" i="16"/>
  <c r="P37" i="16"/>
  <c r="Q37" i="16" s="1"/>
  <c r="R37" i="16" s="1"/>
  <c r="Z37" i="16"/>
  <c r="AA37" i="16" s="1"/>
  <c r="AF37" i="16"/>
  <c r="AG37" i="16" s="1"/>
  <c r="AK37" i="16"/>
  <c r="AP37" i="16"/>
  <c r="AV37" i="16"/>
  <c r="AU39" i="16"/>
  <c r="AV39" i="16" s="1"/>
  <c r="AQ39" i="16"/>
  <c r="AM39" i="16"/>
  <c r="AE39" i="16"/>
  <c r="AI39" i="16" s="1"/>
  <c r="AJ39" i="16" s="1"/>
  <c r="AA39" i="16"/>
  <c r="W39" i="16"/>
  <c r="X39" i="16" s="1"/>
  <c r="S39" i="16"/>
  <c r="O39" i="16"/>
  <c r="P39" i="16"/>
  <c r="Z39" i="16"/>
  <c r="AF39" i="16"/>
  <c r="AG39" i="16" s="1"/>
  <c r="AK39" i="16"/>
  <c r="AP39" i="16"/>
  <c r="AU41" i="16"/>
  <c r="AV41" i="16" s="1"/>
  <c r="AQ41" i="16"/>
  <c r="AM41" i="16"/>
  <c r="AE41" i="16"/>
  <c r="AI41" i="16" s="1"/>
  <c r="AJ41" i="16" s="1"/>
  <c r="W41" i="16"/>
  <c r="X41" i="16" s="1"/>
  <c r="S41" i="16"/>
  <c r="O41" i="16"/>
  <c r="P41" i="16"/>
  <c r="Z41" i="16"/>
  <c r="AA41" i="16" s="1"/>
  <c r="AF41" i="16"/>
  <c r="AK41" i="16"/>
  <c r="AP41" i="16"/>
  <c r="AU43" i="16"/>
  <c r="AV43" i="16" s="1"/>
  <c r="AQ43" i="16"/>
  <c r="AM43" i="16"/>
  <c r="AI43" i="16"/>
  <c r="AJ43" i="16" s="1"/>
  <c r="AE43" i="16"/>
  <c r="W43" i="16"/>
  <c r="X43" i="16" s="1"/>
  <c r="S43" i="16"/>
  <c r="O43" i="16"/>
  <c r="P43" i="16"/>
  <c r="Q43" i="16" s="1"/>
  <c r="R43" i="16" s="1"/>
  <c r="Z43" i="16"/>
  <c r="AA43" i="16" s="1"/>
  <c r="AF43" i="16"/>
  <c r="AK43" i="16"/>
  <c r="AO43" i="16" s="1"/>
  <c r="AP43" i="16"/>
  <c r="M44" i="16"/>
  <c r="N44" i="16" s="1"/>
  <c r="AB44" i="16"/>
  <c r="AL44" i="16"/>
  <c r="Z46" i="16"/>
  <c r="AU46" i="16"/>
  <c r="Z47" i="16"/>
  <c r="AU47" i="16"/>
  <c r="T48" i="16"/>
  <c r="AO50" i="16"/>
  <c r="AK50" i="16"/>
  <c r="AC50" i="16"/>
  <c r="Y50" i="16"/>
  <c r="M50" i="16"/>
  <c r="N50" i="16" s="1"/>
  <c r="AQ50" i="16"/>
  <c r="AL50" i="16"/>
  <c r="AF50" i="16"/>
  <c r="V50" i="16"/>
  <c r="P50" i="16"/>
  <c r="Q50" i="16" s="1"/>
  <c r="AU50" i="16"/>
  <c r="AE50" i="16"/>
  <c r="AT50" i="16"/>
  <c r="AN50" i="16"/>
  <c r="AR50" i="16"/>
  <c r="AH50" i="16"/>
  <c r="AB50" i="16"/>
  <c r="W50" i="16"/>
  <c r="L50" i="16"/>
  <c r="AV50" i="16" s="1"/>
  <c r="T50" i="16"/>
  <c r="U50" i="16" s="1"/>
  <c r="AI50" i="16"/>
  <c r="AG41" i="16"/>
  <c r="AG43" i="16"/>
  <c r="AC44" i="16"/>
  <c r="S46" i="16"/>
  <c r="P47" i="16"/>
  <c r="AL47" i="16"/>
  <c r="X48" i="16"/>
  <c r="AM48" i="16"/>
  <c r="AK44" i="16"/>
  <c r="AT44" i="16"/>
  <c r="AN44" i="16"/>
  <c r="AO44" i="16" s="1"/>
  <c r="AI44" i="16"/>
  <c r="Z44" i="16"/>
  <c r="V44" i="16"/>
  <c r="AU44" i="16"/>
  <c r="AE44" i="16"/>
  <c r="W44" i="16"/>
  <c r="S44" i="16"/>
  <c r="P44" i="16"/>
  <c r="AF44" i="16"/>
  <c r="AQ44" i="16"/>
  <c r="AO46" i="16"/>
  <c r="AK46" i="16"/>
  <c r="AC46" i="16"/>
  <c r="Y46" i="16"/>
  <c r="Q46" i="16"/>
  <c r="M46" i="16"/>
  <c r="N46" i="16" s="1"/>
  <c r="AQ46" i="16"/>
  <c r="AF46" i="16"/>
  <c r="V46" i="16"/>
  <c r="P46" i="16"/>
  <c r="AR46" i="16"/>
  <c r="AH46" i="16"/>
  <c r="AB46" i="16"/>
  <c r="W46" i="16"/>
  <c r="L46" i="16"/>
  <c r="AG46" i="16" s="1"/>
  <c r="AE46" i="16"/>
  <c r="AO47" i="16"/>
  <c r="AK47" i="16"/>
  <c r="AC47" i="16"/>
  <c r="AD47" i="16" s="1"/>
  <c r="Y47" i="16"/>
  <c r="M47" i="16"/>
  <c r="N47" i="16" s="1"/>
  <c r="AH47" i="16"/>
  <c r="AB47" i="16"/>
  <c r="L47" i="16"/>
  <c r="AV47" i="16" s="1"/>
  <c r="AT47" i="16"/>
  <c r="AN47" i="16"/>
  <c r="AI47" i="16"/>
  <c r="S47" i="16"/>
  <c r="T47" i="16"/>
  <c r="AE47" i="16"/>
  <c r="AP47" i="16"/>
  <c r="AD41" i="16"/>
  <c r="AD43" i="16"/>
  <c r="L44" i="16"/>
  <c r="AP44" i="16" s="1"/>
  <c r="Y44" i="16"/>
  <c r="AH44" i="16"/>
  <c r="AR44" i="16"/>
  <c r="AI46" i="16"/>
  <c r="AT46" i="16"/>
  <c r="V47" i="16"/>
  <c r="W47" i="16" s="1"/>
  <c r="X47" i="16" s="1"/>
  <c r="AF47" i="16"/>
  <c r="AQ47" i="16"/>
  <c r="AR47" i="16" s="1"/>
  <c r="P45" i="16"/>
  <c r="V45" i="16"/>
  <c r="W45" i="16" s="1"/>
  <c r="X45" i="16" s="1"/>
  <c r="AF45" i="16"/>
  <c r="AG45" i="16" s="1"/>
  <c r="AL45" i="16"/>
  <c r="AM45" i="16" s="1"/>
  <c r="AQ45" i="16"/>
  <c r="AR45" i="16" s="1"/>
  <c r="AS45" i="16" s="1"/>
  <c r="AS48" i="16"/>
  <c r="AO48" i="16"/>
  <c r="AK48" i="16"/>
  <c r="AG48" i="16"/>
  <c r="AC48" i="16"/>
  <c r="AD48" i="16" s="1"/>
  <c r="Y48" i="16"/>
  <c r="U48" i="16"/>
  <c r="M48" i="16"/>
  <c r="N48" i="16" s="1"/>
  <c r="O48" i="16"/>
  <c r="Z48" i="16"/>
  <c r="AA48" i="16" s="1"/>
  <c r="AE48" i="16"/>
  <c r="AJ48" i="16"/>
  <c r="AP48" i="16"/>
  <c r="AU48" i="16"/>
  <c r="AV48" i="16" s="1"/>
  <c r="P49" i="16"/>
  <c r="V49" i="16"/>
  <c r="W49" i="16" s="1"/>
  <c r="X49" i="16" s="1"/>
  <c r="AF49" i="16"/>
  <c r="AG49" i="16" s="1"/>
  <c r="AL49" i="16"/>
  <c r="AM49" i="16" s="1"/>
  <c r="AQ49" i="16"/>
  <c r="AU49" i="16" s="1"/>
  <c r="AV49" i="16" s="1"/>
  <c r="S51" i="16"/>
  <c r="AI51" i="16"/>
  <c r="AN51" i="16"/>
  <c r="AR52" i="16"/>
  <c r="AN52" i="16"/>
  <c r="AJ52" i="16"/>
  <c r="AF52" i="16"/>
  <c r="AB52" i="16"/>
  <c r="T52" i="16"/>
  <c r="P52" i="16"/>
  <c r="L52" i="16"/>
  <c r="AV52" i="16" s="1"/>
  <c r="AO52" i="16"/>
  <c r="AK52" i="16"/>
  <c r="AG52" i="16"/>
  <c r="AC52" i="16"/>
  <c r="Y52" i="16"/>
  <c r="Z52" i="16" s="1"/>
  <c r="M52" i="16"/>
  <c r="N52" i="16" s="1"/>
  <c r="AH52" i="16"/>
  <c r="AO51" i="16"/>
  <c r="AK51" i="16"/>
  <c r="AC51" i="16"/>
  <c r="Y51" i="16"/>
  <c r="M51" i="16"/>
  <c r="N51" i="16" s="1"/>
  <c r="O51" i="16"/>
  <c r="T51" i="16"/>
  <c r="AE51" i="16"/>
  <c r="AU51" i="16"/>
  <c r="AR53" i="16"/>
  <c r="AN53" i="16"/>
  <c r="AB53" i="16"/>
  <c r="P53" i="16"/>
  <c r="L53" i="16"/>
  <c r="AU53" i="16"/>
  <c r="AQ53" i="16"/>
  <c r="AT53" i="16"/>
  <c r="AL53" i="16"/>
  <c r="AH53" i="16"/>
  <c r="Z53" i="16"/>
  <c r="AO53" i="16"/>
  <c r="AK53" i="16"/>
  <c r="AC53" i="16"/>
  <c r="AD53" i="16" s="1"/>
  <c r="Y53" i="16"/>
  <c r="Q53" i="16"/>
  <c r="M53" i="16"/>
  <c r="N53" i="16" s="1"/>
  <c r="P51" i="16"/>
  <c r="V51" i="16"/>
  <c r="AF51" i="16"/>
  <c r="AL51" i="16"/>
  <c r="AQ51" i="16"/>
  <c r="AV51" i="16"/>
  <c r="S53" i="16"/>
  <c r="AE53" i="16"/>
  <c r="AF53" i="16" s="1"/>
  <c r="AO45" i="16"/>
  <c r="AK45" i="16"/>
  <c r="AC45" i="16"/>
  <c r="AD45" i="16" s="1"/>
  <c r="Y45" i="16"/>
  <c r="U45" i="16"/>
  <c r="M45" i="16"/>
  <c r="N45" i="16" s="1"/>
  <c r="O45" i="16"/>
  <c r="T45" i="16"/>
  <c r="Z45" i="16"/>
  <c r="AA45" i="16" s="1"/>
  <c r="AE45" i="16"/>
  <c r="AJ45" i="16"/>
  <c r="AP45" i="16"/>
  <c r="AS49" i="16"/>
  <c r="AO49" i="16"/>
  <c r="AK49" i="16"/>
  <c r="AC49" i="16"/>
  <c r="AD49" i="16" s="1"/>
  <c r="Y49" i="16"/>
  <c r="U49" i="16"/>
  <c r="M49" i="16"/>
  <c r="N49" i="16" s="1"/>
  <c r="O49" i="16"/>
  <c r="T49" i="16"/>
  <c r="Z49" i="16"/>
  <c r="AA49" i="16" s="1"/>
  <c r="AE49" i="16"/>
  <c r="AJ49" i="16"/>
  <c r="AP49" i="16"/>
  <c r="L51" i="16"/>
  <c r="AD51" i="16" s="1"/>
  <c r="W51" i="16"/>
  <c r="AB51" i="16"/>
  <c r="AH51" i="16"/>
  <c r="AM51" i="16"/>
  <c r="AR51" i="16"/>
  <c r="V53" i="16"/>
  <c r="AI53" i="16"/>
  <c r="T44" i="16" l="1"/>
  <c r="T46" i="16"/>
  <c r="AJ50" i="16"/>
  <c r="AS50" i="16"/>
  <c r="AP50" i="16"/>
  <c r="AG38" i="16"/>
  <c r="X33" i="16"/>
  <c r="AM25" i="16"/>
  <c r="AP30" i="16"/>
  <c r="AP27" i="16"/>
  <c r="O27" i="16"/>
  <c r="T23" i="16"/>
  <c r="AR23" i="16"/>
  <c r="AM40" i="16"/>
  <c r="AD42" i="16"/>
  <c r="O42" i="16"/>
  <c r="U36" i="16"/>
  <c r="AA36" i="16"/>
  <c r="AA13" i="16"/>
  <c r="AD10" i="16"/>
  <c r="AP9" i="16"/>
  <c r="AA9" i="16"/>
  <c r="AG10" i="16"/>
  <c r="AJ13" i="16"/>
  <c r="AS13" i="16"/>
  <c r="AJ10" i="16"/>
  <c r="X9" i="16"/>
  <c r="Q9" i="16"/>
  <c r="AS41" i="16"/>
  <c r="AS37" i="16"/>
  <c r="Q11" i="16"/>
  <c r="R11" i="16" s="1"/>
  <c r="U44" i="16"/>
  <c r="AL42" i="16"/>
  <c r="N9" i="16"/>
  <c r="O9" i="16" s="1"/>
  <c r="T9" i="16"/>
  <c r="U9" i="16" s="1"/>
  <c r="Q19" i="16"/>
  <c r="R19" i="16" s="1"/>
  <c r="T16" i="16"/>
  <c r="U16" i="16" s="1"/>
  <c r="AV10" i="16"/>
  <c r="AV9" i="16"/>
  <c r="Q17" i="16"/>
  <c r="R17" i="16" s="1"/>
  <c r="AS51" i="16"/>
  <c r="AP51" i="16"/>
  <c r="AS52" i="16"/>
  <c r="X52" i="16"/>
  <c r="AS44" i="16"/>
  <c r="X44" i="16"/>
  <c r="X38" i="16"/>
  <c r="AS38" i="16"/>
  <c r="X23" i="16"/>
  <c r="Q36" i="16"/>
  <c r="R42" i="16"/>
  <c r="AP42" i="16"/>
  <c r="R13" i="16"/>
  <c r="AM10" i="16"/>
  <c r="R9" i="16"/>
  <c r="K9" i="16" s="1"/>
  <c r="AG9" i="16"/>
  <c r="U13" i="16"/>
  <c r="O10" i="16"/>
  <c r="Q18" i="16"/>
  <c r="R18" i="16" s="1"/>
  <c r="K18" i="16" s="1"/>
  <c r="X17" i="16"/>
  <c r="O13" i="16"/>
  <c r="AJ9" i="16"/>
  <c r="X6" i="16"/>
  <c r="Z51" i="16"/>
  <c r="AA51" i="16" s="1"/>
  <c r="Q44" i="16"/>
  <c r="AJ44" i="16"/>
  <c r="AA44" i="16"/>
  <c r="R50" i="16"/>
  <c r="AM50" i="16"/>
  <c r="T35" i="16"/>
  <c r="U35" i="16" s="1"/>
  <c r="AA30" i="16"/>
  <c r="AV42" i="16"/>
  <c r="R10" i="16"/>
  <c r="AV13" i="16"/>
  <c r="Z29" i="16"/>
  <c r="AA29" i="16" s="1"/>
  <c r="AS21" i="16"/>
  <c r="AF19" i="16"/>
  <c r="AG19" i="16" s="1"/>
  <c r="Q14" i="16"/>
  <c r="R14" i="16" s="1"/>
  <c r="K14" i="16" s="1"/>
  <c r="O12" i="16"/>
  <c r="K12" i="16" s="1"/>
  <c r="AA53" i="16"/>
  <c r="T53" i="16"/>
  <c r="U53" i="16" s="1"/>
  <c r="O53" i="16"/>
  <c r="K13" i="16"/>
  <c r="K15" i="16"/>
  <c r="R53" i="16"/>
  <c r="AM53" i="16"/>
  <c r="Q51" i="16"/>
  <c r="R51" i="16" s="1"/>
  <c r="AG53" i="16"/>
  <c r="AP53" i="16"/>
  <c r="AV53" i="16"/>
  <c r="U51" i="16"/>
  <c r="AP52" i="16"/>
  <c r="U52" i="16"/>
  <c r="Q52" i="16"/>
  <c r="R52" i="16" s="1"/>
  <c r="X51" i="16"/>
  <c r="X46" i="16"/>
  <c r="Q48" i="16"/>
  <c r="R48" i="16" s="1"/>
  <c r="U47" i="16"/>
  <c r="U46" i="16"/>
  <c r="AL46" i="16"/>
  <c r="AM46" i="16" s="1"/>
  <c r="O44" i="16"/>
  <c r="R44" i="16"/>
  <c r="AD46" i="16"/>
  <c r="AD50" i="16"/>
  <c r="O50" i="16"/>
  <c r="X50" i="16"/>
  <c r="AG50" i="16"/>
  <c r="AJ47" i="16"/>
  <c r="AJ46" i="16"/>
  <c r="AV44" i="16"/>
  <c r="T43" i="16"/>
  <c r="U43" i="16" s="1"/>
  <c r="T41" i="16"/>
  <c r="U41" i="16" s="1"/>
  <c r="K41" i="16" s="1"/>
  <c r="K35" i="16"/>
  <c r="T38" i="16"/>
  <c r="U38" i="16" s="1"/>
  <c r="N38" i="16"/>
  <c r="O38" i="16" s="1"/>
  <c r="AD33" i="16"/>
  <c r="AJ33" i="16"/>
  <c r="AM33" i="16"/>
  <c r="AV30" i="16"/>
  <c r="T30" i="16"/>
  <c r="U30" i="16" s="1"/>
  <c r="AV27" i="16"/>
  <c r="U27" i="16"/>
  <c r="AM27" i="16"/>
  <c r="AP25" i="16"/>
  <c r="AA23" i="16"/>
  <c r="R40" i="16"/>
  <c r="AJ40" i="16"/>
  <c r="AA40" i="16"/>
  <c r="AP34" i="16"/>
  <c r="R34" i="16"/>
  <c r="O34" i="16"/>
  <c r="AG32" i="16"/>
  <c r="AA32" i="16"/>
  <c r="AJ32" i="16"/>
  <c r="Z27" i="16"/>
  <c r="AJ25" i="16"/>
  <c r="AD23" i="16"/>
  <c r="U42" i="16"/>
  <c r="K42" i="16" s="1"/>
  <c r="AG42" i="16"/>
  <c r="AM42" i="16"/>
  <c r="X36" i="16"/>
  <c r="AS36" i="16"/>
  <c r="AD34" i="16"/>
  <c r="R27" i="16"/>
  <c r="K26" i="16"/>
  <c r="R23" i="16"/>
  <c r="K8" i="16"/>
  <c r="K19" i="16"/>
  <c r="AJ53" i="16"/>
  <c r="K48" i="16"/>
  <c r="AV46" i="16"/>
  <c r="K37" i="16"/>
  <c r="AM44" i="16"/>
  <c r="T32" i="16"/>
  <c r="U32" i="16" s="1"/>
  <c r="N32" i="16"/>
  <c r="O32" i="16" s="1"/>
  <c r="AD31" i="16"/>
  <c r="AS31" i="16"/>
  <c r="AM31" i="16"/>
  <c r="R31" i="16"/>
  <c r="AV31" i="16"/>
  <c r="AA27" i="16"/>
  <c r="O25" i="16"/>
  <c r="O23" i="16"/>
  <c r="AF40" i="16"/>
  <c r="AG40" i="16" s="1"/>
  <c r="X34" i="16"/>
  <c r="AS34" i="16"/>
  <c r="T34" i="16"/>
  <c r="U34" i="16" s="1"/>
  <c r="Q32" i="16"/>
  <c r="R32" i="16" s="1"/>
  <c r="AJ30" i="16"/>
  <c r="AD25" i="16"/>
  <c r="Z38" i="16"/>
  <c r="AA38" i="16" s="1"/>
  <c r="AD36" i="16"/>
  <c r="AV36" i="16"/>
  <c r="AJ36" i="16"/>
  <c r="AM36" i="16"/>
  <c r="AS30" i="16"/>
  <c r="X30" i="16"/>
  <c r="AP29" i="16"/>
  <c r="AS25" i="16"/>
  <c r="X25" i="16"/>
  <c r="AV40" i="16"/>
  <c r="AM47" i="16"/>
  <c r="AS47" i="16"/>
  <c r="R46" i="16"/>
  <c r="AA46" i="16"/>
  <c r="AS46" i="16"/>
  <c r="AA47" i="16"/>
  <c r="Z50" i="16"/>
  <c r="AA50" i="16" s="1"/>
  <c r="O47" i="16"/>
  <c r="O46" i="16"/>
  <c r="AJ31" i="16"/>
  <c r="AG34" i="16"/>
  <c r="AM34" i="16"/>
  <c r="AD30" i="16"/>
  <c r="AJ27" i="16"/>
  <c r="Z25" i="16"/>
  <c r="AA25" i="16" s="1"/>
  <c r="K21" i="16"/>
  <c r="AD32" i="16"/>
  <c r="AG31" i="16"/>
  <c r="R30" i="16"/>
  <c r="R25" i="16"/>
  <c r="K16" i="16"/>
  <c r="AU23" i="16"/>
  <c r="AV23" i="16" s="1"/>
  <c r="K10" i="16"/>
  <c r="AS53" i="16"/>
  <c r="X53" i="16"/>
  <c r="AJ51" i="16"/>
  <c r="AG51" i="16"/>
  <c r="K51" i="16" s="1"/>
  <c r="AM52" i="16"/>
  <c r="O52" i="16"/>
  <c r="AD52" i="16"/>
  <c r="AA52" i="16"/>
  <c r="Q49" i="16"/>
  <c r="R49" i="16" s="1"/>
  <c r="K49" i="16" s="1"/>
  <c r="Q45" i="16"/>
  <c r="R45" i="16" s="1"/>
  <c r="K45" i="16" s="1"/>
  <c r="AG47" i="16"/>
  <c r="AP46" i="16"/>
  <c r="AD44" i="16"/>
  <c r="AG44" i="16"/>
  <c r="Q47" i="16"/>
  <c r="R47" i="16" s="1"/>
  <c r="AU45" i="16"/>
  <c r="AV45" i="16" s="1"/>
  <c r="K43" i="16"/>
  <c r="T39" i="16"/>
  <c r="U39" i="16" s="1"/>
  <c r="K39" i="16" s="1"/>
  <c r="AD38" i="16"/>
  <c r="AV38" i="16"/>
  <c r="AM38" i="16"/>
  <c r="AF33" i="16"/>
  <c r="AG33" i="16" s="1"/>
  <c r="AP31" i="16"/>
  <c r="X31" i="16"/>
  <c r="AG25" i="16"/>
  <c r="T31" i="16"/>
  <c r="U31" i="16" s="1"/>
  <c r="AV25" i="16"/>
  <c r="U25" i="16"/>
  <c r="AP23" i="16"/>
  <c r="U23" i="16"/>
  <c r="AM23" i="16"/>
  <c r="T40" i="16"/>
  <c r="U40" i="16" s="1"/>
  <c r="N40" i="16"/>
  <c r="O40" i="16" s="1"/>
  <c r="Q38" i="16"/>
  <c r="R38" i="16" s="1"/>
  <c r="AA34" i="16"/>
  <c r="AV32" i="16"/>
  <c r="AD27" i="16"/>
  <c r="AJ23" i="16"/>
  <c r="K22" i="16"/>
  <c r="AP36" i="16"/>
  <c r="R36" i="16"/>
  <c r="O36" i="16"/>
  <c r="T33" i="16"/>
  <c r="U33" i="16" s="1"/>
  <c r="N33" i="16"/>
  <c r="O33" i="16" s="1"/>
  <c r="AA31" i="16"/>
  <c r="AS27" i="16"/>
  <c r="K24" i="16"/>
  <c r="AS23" i="16"/>
  <c r="K17" i="16"/>
  <c r="K11" i="16"/>
  <c r="K7" i="16"/>
  <c r="K20" i="16"/>
  <c r="K6" i="16"/>
  <c r="K30" i="16" l="1"/>
  <c r="K29" i="16"/>
  <c r="K27" i="16"/>
  <c r="K40" i="16"/>
  <c r="K31" i="16"/>
  <c r="K32" i="16"/>
  <c r="K53" i="16"/>
  <c r="K36" i="16"/>
  <c r="K46" i="16"/>
  <c r="K50" i="16"/>
  <c r="K44" i="16"/>
  <c r="K47" i="16"/>
  <c r="K23" i="16"/>
  <c r="K33" i="16"/>
  <c r="K25" i="16"/>
  <c r="K38" i="16"/>
  <c r="K52" i="16"/>
  <c r="K34" i="16"/>
  <c r="M28" i="14" l="1"/>
  <c r="H30" i="14"/>
  <c r="H31" i="14"/>
  <c r="J31" i="14" s="1"/>
  <c r="H32" i="14"/>
  <c r="H33" i="14"/>
  <c r="K33" i="14" s="1"/>
  <c r="H34" i="14"/>
  <c r="H35" i="14"/>
  <c r="Q35" i="14" s="1"/>
  <c r="H36" i="14"/>
  <c r="H37" i="14"/>
  <c r="Q37" i="14" s="1"/>
  <c r="H38" i="14"/>
  <c r="H39" i="14"/>
  <c r="H40" i="14"/>
  <c r="H41" i="14"/>
  <c r="K41" i="14" s="1"/>
  <c r="H42" i="14"/>
  <c r="H43" i="14"/>
  <c r="H44" i="14"/>
  <c r="H45" i="14"/>
  <c r="Q45" i="14" s="1"/>
  <c r="R45" i="14" s="1"/>
  <c r="H46" i="14"/>
  <c r="H47" i="14"/>
  <c r="Q47" i="14" s="1"/>
  <c r="R47" i="14" s="1"/>
  <c r="H48" i="14"/>
  <c r="H49" i="14"/>
  <c r="Q49" i="14" s="1"/>
  <c r="R49" i="14" s="1"/>
  <c r="H50" i="14"/>
  <c r="H51" i="14"/>
  <c r="Q51" i="14" s="1"/>
  <c r="R51" i="14" s="1"/>
  <c r="H52" i="14"/>
  <c r="H53" i="14"/>
  <c r="Q53" i="14" s="1"/>
  <c r="H29" i="14"/>
  <c r="K31" i="14"/>
  <c r="K50" i="14"/>
  <c r="K45" i="14"/>
  <c r="K44" i="14"/>
  <c r="K42" i="14"/>
  <c r="K38" i="14"/>
  <c r="K34" i="14"/>
  <c r="K30" i="14"/>
  <c r="H6" i="14"/>
  <c r="J32" i="14"/>
  <c r="J33" i="14"/>
  <c r="J36" i="14"/>
  <c r="J37" i="14"/>
  <c r="J43" i="14"/>
  <c r="J48" i="14"/>
  <c r="J49" i="14"/>
  <c r="J52" i="14"/>
  <c r="J53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0" i="14"/>
  <c r="F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49" i="13"/>
  <c r="I49" i="13" s="1"/>
  <c r="F48" i="13"/>
  <c r="I48" i="13" s="1"/>
  <c r="F46" i="13"/>
  <c r="I46" i="13" s="1"/>
  <c r="F41" i="13"/>
  <c r="I41" i="13" s="1"/>
  <c r="F40" i="13"/>
  <c r="I40" i="13" s="1"/>
  <c r="F38" i="13"/>
  <c r="I38" i="13" s="1"/>
  <c r="J45" i="14" l="1"/>
  <c r="K37" i="14"/>
  <c r="L37" i="14" s="1"/>
  <c r="K51" i="14"/>
  <c r="J41" i="14"/>
  <c r="L41" i="14" s="1"/>
  <c r="K49" i="14"/>
  <c r="L49" i="14" s="1"/>
  <c r="J47" i="14"/>
  <c r="M26" i="14"/>
  <c r="Q26" i="14"/>
  <c r="M22" i="14"/>
  <c r="Q22" i="14"/>
  <c r="M18" i="14"/>
  <c r="N18" i="14" s="1"/>
  <c r="Q18" i="14"/>
  <c r="R18" i="14"/>
  <c r="M14" i="14"/>
  <c r="N14" i="14" s="1"/>
  <c r="Q14" i="14"/>
  <c r="R14" i="14"/>
  <c r="M10" i="14"/>
  <c r="N10" i="14" s="1"/>
  <c r="Q10" i="14"/>
  <c r="R10" i="14"/>
  <c r="J29" i="14"/>
  <c r="R29" i="14"/>
  <c r="Q29" i="14"/>
  <c r="J50" i="14"/>
  <c r="Q50" i="14"/>
  <c r="R50" i="14" s="1"/>
  <c r="J46" i="14"/>
  <c r="Q46" i="14"/>
  <c r="R46" i="14" s="1"/>
  <c r="J42" i="14"/>
  <c r="R42" i="14"/>
  <c r="Q42" i="14"/>
  <c r="J38" i="14"/>
  <c r="R38" i="14"/>
  <c r="Q38" i="14"/>
  <c r="J34" i="14"/>
  <c r="Q34" i="14"/>
  <c r="R30" i="14"/>
  <c r="Q30" i="14"/>
  <c r="M51" i="14"/>
  <c r="N51" i="14" s="1"/>
  <c r="O51" i="14" s="1"/>
  <c r="M47" i="14"/>
  <c r="N47" i="14" s="1"/>
  <c r="M43" i="14"/>
  <c r="N43" i="14" s="1"/>
  <c r="M39" i="14"/>
  <c r="N39" i="14" s="1"/>
  <c r="M35" i="14"/>
  <c r="M31" i="14"/>
  <c r="N31" i="14" s="1"/>
  <c r="O31" i="14" s="1"/>
  <c r="P31" i="14" s="1"/>
  <c r="J25" i="14"/>
  <c r="Q25" i="14"/>
  <c r="K21" i="14"/>
  <c r="Q21" i="14"/>
  <c r="M17" i="14"/>
  <c r="N17" i="14" s="1"/>
  <c r="R17" i="14"/>
  <c r="Q17" i="14"/>
  <c r="K13" i="14"/>
  <c r="R13" i="14"/>
  <c r="Q13" i="14"/>
  <c r="J9" i="14"/>
  <c r="R9" i="14"/>
  <c r="Q9" i="14"/>
  <c r="K6" i="14"/>
  <c r="R6" i="14"/>
  <c r="Q6" i="14"/>
  <c r="R41" i="14"/>
  <c r="Q41" i="14"/>
  <c r="R33" i="14"/>
  <c r="Q33" i="14"/>
  <c r="M6" i="14"/>
  <c r="N6" i="14" s="1"/>
  <c r="O6" i="14" s="1"/>
  <c r="M50" i="14"/>
  <c r="N50" i="14" s="1"/>
  <c r="O50" i="14" s="1"/>
  <c r="P50" i="14" s="1"/>
  <c r="M46" i="14"/>
  <c r="N46" i="14" s="1"/>
  <c r="M42" i="14"/>
  <c r="N42" i="14" s="1"/>
  <c r="O42" i="14" s="1"/>
  <c r="P42" i="14" s="1"/>
  <c r="M38" i="14"/>
  <c r="N38" i="14" s="1"/>
  <c r="O38" i="14" s="1"/>
  <c r="P38" i="14" s="1"/>
  <c r="M34" i="14"/>
  <c r="M30" i="14"/>
  <c r="N30" i="14" s="1"/>
  <c r="O30" i="14" s="1"/>
  <c r="M24" i="14"/>
  <c r="Q24" i="14"/>
  <c r="M20" i="14"/>
  <c r="Q20" i="14"/>
  <c r="M16" i="14"/>
  <c r="N16" i="14" s="1"/>
  <c r="R16" i="14"/>
  <c r="Q16" i="14"/>
  <c r="M12" i="14"/>
  <c r="N12" i="14" s="1"/>
  <c r="R12" i="14"/>
  <c r="Q12" i="14"/>
  <c r="M8" i="14"/>
  <c r="N8" i="14" s="1"/>
  <c r="R8" i="14"/>
  <c r="Q8" i="14"/>
  <c r="K53" i="14"/>
  <c r="L53" i="14" s="1"/>
  <c r="K52" i="14"/>
  <c r="Q52" i="14"/>
  <c r="K48" i="14"/>
  <c r="Q48" i="14"/>
  <c r="R48" i="14" s="1"/>
  <c r="J44" i="14"/>
  <c r="Q44" i="14"/>
  <c r="R44" i="14" s="1"/>
  <c r="J40" i="14"/>
  <c r="R40" i="14"/>
  <c r="Q40" i="14"/>
  <c r="K36" i="14"/>
  <c r="Q36" i="14"/>
  <c r="K32" i="14"/>
  <c r="Q32" i="14"/>
  <c r="R32" i="14"/>
  <c r="M53" i="14"/>
  <c r="N53" i="14" s="1"/>
  <c r="M49" i="14"/>
  <c r="N49" i="14" s="1"/>
  <c r="O49" i="14" s="1"/>
  <c r="P49" i="14" s="1"/>
  <c r="M45" i="14"/>
  <c r="N45" i="14" s="1"/>
  <c r="O45" i="14" s="1"/>
  <c r="M41" i="14"/>
  <c r="N41" i="14" s="1"/>
  <c r="O41" i="14" s="1"/>
  <c r="M37" i="14"/>
  <c r="M33" i="14"/>
  <c r="N33" i="14" s="1"/>
  <c r="O33" i="14" s="1"/>
  <c r="P33" i="14" s="1"/>
  <c r="M29" i="14"/>
  <c r="N29" i="14" s="1"/>
  <c r="K27" i="14"/>
  <c r="Q27" i="14"/>
  <c r="M23" i="14"/>
  <c r="Q23" i="14"/>
  <c r="M19" i="14"/>
  <c r="N19" i="14" s="1"/>
  <c r="Q19" i="14"/>
  <c r="R19" i="14"/>
  <c r="M15" i="14"/>
  <c r="N15" i="14" s="1"/>
  <c r="Q15" i="14"/>
  <c r="R15" i="14"/>
  <c r="M11" i="14"/>
  <c r="N11" i="14" s="1"/>
  <c r="Q11" i="14"/>
  <c r="R11" i="14"/>
  <c r="M7" i="14"/>
  <c r="N7" i="14" s="1"/>
  <c r="Q7" i="14"/>
  <c r="R7" i="14"/>
  <c r="R43" i="14"/>
  <c r="Q43" i="14"/>
  <c r="J39" i="14"/>
  <c r="R39" i="14"/>
  <c r="Q39" i="14"/>
  <c r="R31" i="14"/>
  <c r="Q31" i="14"/>
  <c r="M52" i="14"/>
  <c r="N52" i="14" s="1"/>
  <c r="M48" i="14"/>
  <c r="N48" i="14" s="1"/>
  <c r="O48" i="14" s="1"/>
  <c r="P48" i="14" s="1"/>
  <c r="M44" i="14"/>
  <c r="N44" i="14" s="1"/>
  <c r="O44" i="14" s="1"/>
  <c r="P44" i="14" s="1"/>
  <c r="M40" i="14"/>
  <c r="N40" i="14" s="1"/>
  <c r="M36" i="14"/>
  <c r="M32" i="14"/>
  <c r="N32" i="14" s="1"/>
  <c r="P41" i="14"/>
  <c r="P45" i="14"/>
  <c r="J17" i="14"/>
  <c r="J13" i="14"/>
  <c r="L13" i="14" s="1"/>
  <c r="K17" i="14"/>
  <c r="K25" i="14"/>
  <c r="L52" i="14"/>
  <c r="L36" i="14"/>
  <c r="M25" i="14"/>
  <c r="M21" i="14"/>
  <c r="M13" i="14"/>
  <c r="N13" i="14" s="1"/>
  <c r="O13" i="14" s="1"/>
  <c r="P13" i="14" s="1"/>
  <c r="M9" i="14"/>
  <c r="N9" i="14" s="1"/>
  <c r="L50" i="14"/>
  <c r="J21" i="14"/>
  <c r="L21" i="14" s="1"/>
  <c r="K9" i="14"/>
  <c r="L9" i="14" s="1"/>
  <c r="M27" i="14"/>
  <c r="N27" i="14" s="1"/>
  <c r="O27" i="14" s="1"/>
  <c r="L45" i="14"/>
  <c r="L25" i="14"/>
  <c r="L48" i="14"/>
  <c r="L32" i="14"/>
  <c r="L33" i="14"/>
  <c r="K40" i="14"/>
  <c r="L40" i="14" s="1"/>
  <c r="K46" i="14"/>
  <c r="L46" i="14" s="1"/>
  <c r="L44" i="14"/>
  <c r="J51" i="14"/>
  <c r="L51" i="14" s="1"/>
  <c r="J35" i="14"/>
  <c r="K35" i="14"/>
  <c r="K39" i="14"/>
  <c r="K43" i="14"/>
  <c r="L43" i="14" s="1"/>
  <c r="J24" i="14"/>
  <c r="J20" i="14"/>
  <c r="J16" i="14"/>
  <c r="J12" i="14"/>
  <c r="J8" i="14"/>
  <c r="K20" i="14"/>
  <c r="L20" i="14" s="1"/>
  <c r="K16" i="14"/>
  <c r="L16" i="14" s="1"/>
  <c r="K12" i="14"/>
  <c r="L12" i="14" s="1"/>
  <c r="K8" i="14"/>
  <c r="L8" i="14" s="1"/>
  <c r="K24" i="14"/>
  <c r="J27" i="14"/>
  <c r="L27" i="14" s="1"/>
  <c r="J23" i="14"/>
  <c r="J19" i="14"/>
  <c r="J15" i="14"/>
  <c r="J11" i="14"/>
  <c r="J7" i="14"/>
  <c r="K23" i="14"/>
  <c r="L23" i="14" s="1"/>
  <c r="K19" i="14"/>
  <c r="K15" i="14"/>
  <c r="K11" i="14"/>
  <c r="K7" i="14"/>
  <c r="L7" i="14" s="1"/>
  <c r="J26" i="14"/>
  <c r="J22" i="14"/>
  <c r="J18" i="14"/>
  <c r="J14" i="14"/>
  <c r="J10" i="14"/>
  <c r="K22" i="14"/>
  <c r="L22" i="14" s="1"/>
  <c r="K18" i="14"/>
  <c r="L18" i="14" s="1"/>
  <c r="K14" i="14"/>
  <c r="L14" i="14" s="1"/>
  <c r="K10" i="14"/>
  <c r="L10" i="14" s="1"/>
  <c r="K26" i="14"/>
  <c r="L34" i="14"/>
  <c r="L38" i="14"/>
  <c r="L42" i="14"/>
  <c r="J30" i="14"/>
  <c r="L30" i="14" s="1"/>
  <c r="K47" i="14"/>
  <c r="L47" i="14" s="1"/>
  <c r="L31" i="14"/>
  <c r="K29" i="14"/>
  <c r="L29" i="14" s="1"/>
  <c r="J6" i="14"/>
  <c r="L6" i="14" s="1"/>
  <c r="G49" i="13"/>
  <c r="G48" i="13"/>
  <c r="G46" i="13"/>
  <c r="G41" i="13"/>
  <c r="G40" i="13"/>
  <c r="G38" i="13"/>
  <c r="L39" i="14" l="1"/>
  <c r="P27" i="14"/>
  <c r="O32" i="14"/>
  <c r="P32" i="14" s="1"/>
  <c r="L19" i="14"/>
  <c r="L24" i="14"/>
  <c r="P6" i="14"/>
  <c r="N25" i="14"/>
  <c r="O25" i="14" s="1"/>
  <c r="P25" i="14" s="1"/>
  <c r="R25" i="14"/>
  <c r="L17" i="14"/>
  <c r="R36" i="14"/>
  <c r="N36" i="14"/>
  <c r="O36" i="14" s="1"/>
  <c r="P36" i="14" s="1"/>
  <c r="O52" i="14"/>
  <c r="P52" i="14" s="1"/>
  <c r="O15" i="14"/>
  <c r="P15" i="14" s="1"/>
  <c r="R37" i="14"/>
  <c r="N37" i="14"/>
  <c r="O37" i="14" s="1"/>
  <c r="P37" i="14" s="1"/>
  <c r="O53" i="14"/>
  <c r="O16" i="14"/>
  <c r="P16" i="14" s="1"/>
  <c r="N24" i="14"/>
  <c r="O24" i="14" s="1"/>
  <c r="P24" i="14" s="1"/>
  <c r="R24" i="14"/>
  <c r="O17" i="14"/>
  <c r="P17" i="14" s="1"/>
  <c r="R35" i="14"/>
  <c r="N35" i="14"/>
  <c r="O35" i="14" s="1"/>
  <c r="P35" i="14" s="1"/>
  <c r="O18" i="14"/>
  <c r="P18" i="14" s="1"/>
  <c r="N26" i="14"/>
  <c r="O26" i="14" s="1"/>
  <c r="P26" i="14" s="1"/>
  <c r="R26" i="14"/>
  <c r="O9" i="14"/>
  <c r="P9" i="14" s="1"/>
  <c r="O40" i="14"/>
  <c r="P40" i="14" s="1"/>
  <c r="O11" i="14"/>
  <c r="P11" i="14" s="1"/>
  <c r="N23" i="14"/>
  <c r="O23" i="14" s="1"/>
  <c r="P23" i="14" s="1"/>
  <c r="R23" i="14"/>
  <c r="O12" i="14"/>
  <c r="P12" i="14" s="1"/>
  <c r="P51" i="14"/>
  <c r="O46" i="14"/>
  <c r="P46" i="14" s="1"/>
  <c r="O39" i="14"/>
  <c r="P39" i="14" s="1"/>
  <c r="O14" i="14"/>
  <c r="P14" i="14" s="1"/>
  <c r="O7" i="14"/>
  <c r="P7" i="14" s="1"/>
  <c r="O29" i="14"/>
  <c r="P29" i="14" s="1"/>
  <c r="O8" i="14"/>
  <c r="P8" i="14" s="1"/>
  <c r="N20" i="14"/>
  <c r="O20" i="14" s="1"/>
  <c r="P20" i="14" s="1"/>
  <c r="R20" i="14"/>
  <c r="R34" i="14"/>
  <c r="N34" i="14"/>
  <c r="O34" i="14" s="1"/>
  <c r="P34" i="14" s="1"/>
  <c r="P30" i="14"/>
  <c r="O43" i="14"/>
  <c r="P43" i="14" s="1"/>
  <c r="O10" i="14"/>
  <c r="P10" i="14" s="1"/>
  <c r="N22" i="14"/>
  <c r="O22" i="14" s="1"/>
  <c r="P22" i="14" s="1"/>
  <c r="R22" i="14"/>
  <c r="N21" i="14"/>
  <c r="O21" i="14" s="1"/>
  <c r="P21" i="14" s="1"/>
  <c r="R21" i="14"/>
  <c r="O19" i="14"/>
  <c r="P19" i="14" s="1"/>
  <c r="O47" i="14"/>
  <c r="P47" i="14" s="1"/>
  <c r="L35" i="14"/>
  <c r="L11" i="14"/>
  <c r="L26" i="14"/>
  <c r="L15" i="14"/>
  <c r="P53" i="14" l="1"/>
  <c r="R53" i="14"/>
  <c r="R52" i="14"/>
  <c r="F22" i="12"/>
  <c r="H22" i="12" s="1"/>
  <c r="F21" i="12"/>
  <c r="H21" i="12" s="1"/>
  <c r="F19" i="12"/>
  <c r="H19" i="12" s="1"/>
  <c r="F13" i="12"/>
  <c r="H13" i="12" s="1"/>
  <c r="F12" i="12"/>
  <c r="H12" i="12" s="1"/>
  <c r="F10" i="12"/>
  <c r="H10" i="12" s="1"/>
  <c r="G22" i="12" l="1"/>
  <c r="G21" i="12"/>
  <c r="G19" i="12"/>
  <c r="G13" i="12"/>
  <c r="G12" i="12"/>
  <c r="G10" i="12"/>
  <c r="F58" i="13"/>
  <c r="I58" i="13" s="1"/>
  <c r="F57" i="13"/>
  <c r="I57" i="13" s="1"/>
  <c r="F56" i="13"/>
  <c r="I56" i="13" s="1"/>
  <c r="F55" i="13"/>
  <c r="I55" i="13" s="1"/>
  <c r="F54" i="13"/>
  <c r="I54" i="13" s="1"/>
  <c r="F53" i="13"/>
  <c r="I53" i="13" s="1"/>
  <c r="F52" i="13"/>
  <c r="I52" i="13" s="1"/>
  <c r="F51" i="13"/>
  <c r="I51" i="13" s="1"/>
  <c r="F50" i="13"/>
  <c r="I50" i="13" s="1"/>
  <c r="F47" i="13"/>
  <c r="I47" i="13" s="1"/>
  <c r="F45" i="13"/>
  <c r="I45" i="13" s="1"/>
  <c r="F44" i="13"/>
  <c r="I44" i="13" s="1"/>
  <c r="F43" i="13"/>
  <c r="I43" i="13" s="1"/>
  <c r="F42" i="13"/>
  <c r="I42" i="13" s="1"/>
  <c r="F39" i="13"/>
  <c r="I39" i="13" s="1"/>
  <c r="F37" i="13"/>
  <c r="I37" i="13" s="1"/>
  <c r="I36" i="13"/>
  <c r="G36" i="13" s="1"/>
  <c r="F35" i="13"/>
  <c r="I35" i="13" s="1"/>
  <c r="F34" i="13"/>
  <c r="I34" i="13" s="1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F6" i="12"/>
  <c r="H6" i="12" s="1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5" i="12"/>
  <c r="F45" i="12"/>
  <c r="F27" i="12"/>
  <c r="H27" i="12" s="1"/>
  <c r="F26" i="12"/>
  <c r="H26" i="12" s="1"/>
  <c r="F25" i="12"/>
  <c r="H25" i="12" s="1"/>
  <c r="F24" i="12"/>
  <c r="H24" i="12" s="1"/>
  <c r="F23" i="12"/>
  <c r="H23" i="12" s="1"/>
  <c r="F20" i="12"/>
  <c r="H20" i="12" s="1"/>
  <c r="F18" i="12"/>
  <c r="H18" i="12" s="1"/>
  <c r="F17" i="12"/>
  <c r="H17" i="12" s="1"/>
  <c r="F16" i="12"/>
  <c r="H16" i="12" s="1"/>
  <c r="F15" i="12"/>
  <c r="H15" i="12" s="1"/>
  <c r="F14" i="12"/>
  <c r="H14" i="12" s="1"/>
  <c r="F11" i="12"/>
  <c r="H11" i="12" s="1"/>
  <c r="F9" i="12"/>
  <c r="H9" i="12" s="1"/>
  <c r="F8" i="12"/>
  <c r="H8" i="12" s="1"/>
  <c r="F7" i="12"/>
  <c r="H7" i="12" s="1"/>
  <c r="K6" i="12"/>
  <c r="L6" i="12" s="1"/>
  <c r="K36" i="6"/>
  <c r="G43" i="13" l="1"/>
  <c r="G50" i="13"/>
  <c r="G54" i="13"/>
  <c r="G58" i="13"/>
  <c r="G34" i="13"/>
  <c r="G37" i="13"/>
  <c r="G44" i="13"/>
  <c r="G51" i="13"/>
  <c r="G55" i="13"/>
  <c r="G35" i="13"/>
  <c r="G39" i="13"/>
  <c r="G45" i="13"/>
  <c r="G52" i="13"/>
  <c r="G56" i="13"/>
  <c r="G42" i="13"/>
  <c r="G47" i="13"/>
  <c r="G53" i="13"/>
  <c r="G57" i="13"/>
  <c r="G7" i="12"/>
  <c r="G14" i="12"/>
  <c r="G18" i="12"/>
  <c r="G25" i="12"/>
  <c r="G8" i="12"/>
  <c r="G15" i="12"/>
  <c r="G20" i="12"/>
  <c r="G26" i="12"/>
  <c r="G6" i="12"/>
  <c r="G9" i="12"/>
  <c r="G16" i="12"/>
  <c r="G23" i="12"/>
  <c r="G27" i="12"/>
  <c r="G11" i="12"/>
  <c r="G17" i="12"/>
  <c r="G24" i="12"/>
  <c r="M6" i="12"/>
  <c r="F49" i="6"/>
  <c r="K49" i="6" s="1"/>
  <c r="I49" i="6" s="1"/>
  <c r="F48" i="6"/>
  <c r="K48" i="6" s="1"/>
  <c r="I48" i="6" s="1"/>
  <c r="F46" i="6"/>
  <c r="K46" i="6" s="1"/>
  <c r="I46" i="6" s="1"/>
  <c r="F43" i="6"/>
  <c r="K43" i="6" s="1"/>
  <c r="I43" i="6" s="1"/>
  <c r="F41" i="6"/>
  <c r="K41" i="6" s="1"/>
  <c r="I41" i="6" s="1"/>
  <c r="F35" i="6"/>
  <c r="K35" i="6" s="1"/>
  <c r="I35" i="6" s="1"/>
  <c r="F13" i="11"/>
  <c r="J13" i="11" s="1"/>
  <c r="I13" i="11" s="1"/>
  <c r="F7" i="11"/>
  <c r="J7" i="11" s="1"/>
  <c r="G7" i="11" s="1"/>
  <c r="H7" i="11" l="1"/>
  <c r="G35" i="6"/>
  <c r="I7" i="11"/>
  <c r="H35" i="6"/>
  <c r="G41" i="6"/>
  <c r="G43" i="6"/>
  <c r="G46" i="6"/>
  <c r="G48" i="6"/>
  <c r="G49" i="6"/>
  <c r="H41" i="6"/>
  <c r="H43" i="6"/>
  <c r="H46" i="6"/>
  <c r="H48" i="6"/>
  <c r="H49" i="6"/>
  <c r="G13" i="11"/>
  <c r="H13" i="11"/>
  <c r="F47" i="6"/>
  <c r="K47" i="6" s="1"/>
  <c r="G47" i="6" s="1"/>
  <c r="I36" i="6"/>
  <c r="H36" i="6"/>
  <c r="G36" i="6"/>
  <c r="F20" i="11"/>
  <c r="J20" i="11" s="1"/>
  <c r="I20" i="11" s="1"/>
  <c r="F19" i="11"/>
  <c r="J19" i="11" s="1"/>
  <c r="G19" i="11" s="1"/>
  <c r="F18" i="11"/>
  <c r="J18" i="11" s="1"/>
  <c r="I18" i="11" s="1"/>
  <c r="H19" i="11" l="1"/>
  <c r="I19" i="11"/>
  <c r="I47" i="6"/>
  <c r="H47" i="6"/>
  <c r="G18" i="11"/>
  <c r="H18" i="11"/>
  <c r="G20" i="11"/>
  <c r="H20" i="11"/>
  <c r="I49" i="11"/>
  <c r="H49" i="11"/>
  <c r="G49" i="11"/>
  <c r="F49" i="11"/>
  <c r="I48" i="11"/>
  <c r="H48" i="11"/>
  <c r="G48" i="11"/>
  <c r="F48" i="11"/>
  <c r="I47" i="11"/>
  <c r="H47" i="11"/>
  <c r="G47" i="11"/>
  <c r="F47" i="11"/>
  <c r="I46" i="11"/>
  <c r="H46" i="11"/>
  <c r="G46" i="11"/>
  <c r="F46" i="11"/>
  <c r="I45" i="11"/>
  <c r="H45" i="11"/>
  <c r="G45" i="11"/>
  <c r="F45" i="11"/>
  <c r="I44" i="11"/>
  <c r="H44" i="11"/>
  <c r="G44" i="11"/>
  <c r="F44" i="11"/>
  <c r="I43" i="11"/>
  <c r="H43" i="11"/>
  <c r="G43" i="11"/>
  <c r="F43" i="11"/>
  <c r="I42" i="11"/>
  <c r="H42" i="11"/>
  <c r="G42" i="11"/>
  <c r="F42" i="11"/>
  <c r="I41" i="11"/>
  <c r="H41" i="11"/>
  <c r="G41" i="11"/>
  <c r="F41" i="11"/>
  <c r="I40" i="11"/>
  <c r="H40" i="11"/>
  <c r="G40" i="11"/>
  <c r="F40" i="11"/>
  <c r="I39" i="11"/>
  <c r="H39" i="11"/>
  <c r="G39" i="11"/>
  <c r="F39" i="11"/>
  <c r="F21" i="11"/>
  <c r="J21" i="11" s="1"/>
  <c r="I21" i="11" s="1"/>
  <c r="F17" i="11"/>
  <c r="J17" i="11" s="1"/>
  <c r="G17" i="11" s="1"/>
  <c r="F16" i="11"/>
  <c r="J16" i="11" s="1"/>
  <c r="G16" i="11" s="1"/>
  <c r="I15" i="11"/>
  <c r="F15" i="11"/>
  <c r="J15" i="11" s="1"/>
  <c r="G15" i="11" s="1"/>
  <c r="F14" i="11"/>
  <c r="J14" i="11" s="1"/>
  <c r="G14" i="11" s="1"/>
  <c r="F12" i="11"/>
  <c r="J12" i="11" s="1"/>
  <c r="H12" i="11" s="1"/>
  <c r="I11" i="11"/>
  <c r="H11" i="11"/>
  <c r="F11" i="11"/>
  <c r="J11" i="11" s="1"/>
  <c r="G11" i="11" s="1"/>
  <c r="F10" i="11"/>
  <c r="J10" i="11" s="1"/>
  <c r="G10" i="11" s="1"/>
  <c r="F9" i="11"/>
  <c r="J9" i="11" s="1"/>
  <c r="G9" i="11" s="1"/>
  <c r="I8" i="11"/>
  <c r="F8" i="11"/>
  <c r="J8" i="11" s="1"/>
  <c r="G8" i="11" s="1"/>
  <c r="H6" i="11"/>
  <c r="G6" i="11"/>
  <c r="F6" i="11"/>
  <c r="J6" i="11" s="1"/>
  <c r="I6" i="11" s="1"/>
  <c r="H8" i="11" l="1"/>
  <c r="I12" i="11"/>
  <c r="H15" i="11"/>
  <c r="I16" i="11"/>
  <c r="H14" i="11"/>
  <c r="H16" i="11"/>
  <c r="G21" i="11"/>
  <c r="H10" i="11"/>
  <c r="H9" i="11"/>
  <c r="I10" i="11"/>
  <c r="I14" i="11"/>
  <c r="H17" i="11"/>
  <c r="H21" i="11"/>
  <c r="I9" i="11"/>
  <c r="I17" i="11"/>
  <c r="G12" i="11"/>
  <c r="E27" i="4"/>
  <c r="E17" i="4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G27" i="4" s="1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F27" i="4" s="1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F17" i="4" s="1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F14" i="4" s="1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F12" i="4" s="1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F9" i="4" s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3" i="3"/>
  <c r="I6" i="6"/>
  <c r="O73" i="9" l="1"/>
  <c r="O29" i="9"/>
  <c r="O78" i="9"/>
  <c r="O4" i="9"/>
  <c r="O48" i="9"/>
  <c r="O47" i="9"/>
  <c r="O59" i="9"/>
  <c r="O46" i="9"/>
  <c r="O80" i="9"/>
  <c r="O16" i="9"/>
  <c r="O15" i="9"/>
  <c r="O28" i="9"/>
  <c r="O27" i="9"/>
  <c r="O8" i="9"/>
  <c r="O45" i="9"/>
  <c r="O69" i="9"/>
  <c r="O58" i="9"/>
  <c r="O57" i="9"/>
  <c r="O26" i="9"/>
  <c r="O25" i="9"/>
  <c r="O44" i="9"/>
  <c r="O3" i="9"/>
  <c r="O77" i="9"/>
  <c r="O72" i="9"/>
  <c r="O14" i="9"/>
  <c r="O68" i="9"/>
  <c r="O24" i="9"/>
  <c r="O43" i="9"/>
  <c r="O42" i="9"/>
  <c r="O81" i="9"/>
  <c r="O23" i="9"/>
  <c r="O41" i="9"/>
  <c r="O71" i="9"/>
  <c r="O56" i="9"/>
  <c r="O55" i="9"/>
  <c r="O40" i="9"/>
  <c r="O13" i="9"/>
  <c r="O39" i="9"/>
  <c r="O54" i="9"/>
  <c r="O22" i="9"/>
  <c r="O79" i="9"/>
  <c r="O82" i="9"/>
  <c r="O12" i="9"/>
  <c r="O67" i="9"/>
  <c r="O20" i="9"/>
  <c r="O38" i="9"/>
  <c r="O37" i="9"/>
  <c r="O36" i="9"/>
  <c r="O53" i="9"/>
  <c r="O11" i="9"/>
  <c r="O35" i="9"/>
  <c r="O34" i="9"/>
  <c r="O66" i="9"/>
  <c r="O65" i="9"/>
  <c r="O7" i="9"/>
  <c r="O52" i="9"/>
  <c r="O19" i="9"/>
  <c r="O33" i="9"/>
  <c r="O70" i="9"/>
  <c r="O76" i="9"/>
  <c r="O51" i="9"/>
  <c r="O50" i="9"/>
  <c r="O10" i="9"/>
  <c r="O9" i="9"/>
  <c r="O64" i="9"/>
  <c r="O32" i="9"/>
  <c r="O6" i="9"/>
  <c r="O31" i="9"/>
  <c r="O63" i="9"/>
  <c r="O62" i="9"/>
  <c r="O61" i="9"/>
  <c r="O5" i="9"/>
  <c r="O75" i="9"/>
  <c r="O74" i="9"/>
  <c r="O49" i="9"/>
  <c r="O18" i="9"/>
  <c r="O2" i="9"/>
  <c r="O30" i="9"/>
  <c r="O17" i="9"/>
  <c r="O60" i="9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42" i="8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2" i="8"/>
  <c r="F38" i="6" l="1"/>
  <c r="K38" i="6" s="1"/>
  <c r="I38" i="6" s="1"/>
  <c r="J36" i="7"/>
  <c r="I36" i="7"/>
  <c r="H36" i="7"/>
  <c r="F36" i="7"/>
  <c r="J44" i="7"/>
  <c r="I44" i="7"/>
  <c r="H44" i="7"/>
  <c r="F44" i="7"/>
  <c r="J43" i="7"/>
  <c r="I43" i="7"/>
  <c r="H43" i="7"/>
  <c r="F43" i="7"/>
  <c r="J42" i="7"/>
  <c r="I42" i="7"/>
  <c r="H42" i="7"/>
  <c r="F42" i="7"/>
  <c r="J41" i="7"/>
  <c r="I41" i="7"/>
  <c r="H41" i="7"/>
  <c r="F41" i="7"/>
  <c r="J40" i="7"/>
  <c r="I40" i="7"/>
  <c r="H40" i="7"/>
  <c r="F40" i="7"/>
  <c r="J39" i="7"/>
  <c r="I39" i="7"/>
  <c r="H39" i="7"/>
  <c r="F39" i="7"/>
  <c r="J38" i="7"/>
  <c r="I38" i="7"/>
  <c r="H38" i="7"/>
  <c r="F38" i="7"/>
  <c r="J37" i="7"/>
  <c r="I37" i="7"/>
  <c r="H37" i="7"/>
  <c r="F37" i="7"/>
  <c r="J35" i="7"/>
  <c r="I35" i="7"/>
  <c r="H35" i="7"/>
  <c r="F35" i="7"/>
  <c r="J34" i="7"/>
  <c r="I34" i="7"/>
  <c r="H34" i="7"/>
  <c r="F34" i="7"/>
  <c r="J17" i="7"/>
  <c r="I17" i="7"/>
  <c r="H17" i="7"/>
  <c r="F17" i="7"/>
  <c r="J16" i="7"/>
  <c r="I16" i="7"/>
  <c r="H16" i="7"/>
  <c r="F16" i="7"/>
  <c r="J15" i="7"/>
  <c r="I15" i="7"/>
  <c r="H15" i="7"/>
  <c r="F15" i="7"/>
  <c r="J14" i="7"/>
  <c r="I14" i="7"/>
  <c r="H14" i="7"/>
  <c r="F14" i="7"/>
  <c r="J13" i="7"/>
  <c r="I13" i="7"/>
  <c r="H13" i="7"/>
  <c r="F13" i="7"/>
  <c r="J12" i="7"/>
  <c r="I12" i="7"/>
  <c r="H12" i="7"/>
  <c r="F12" i="7"/>
  <c r="J11" i="7"/>
  <c r="I11" i="7"/>
  <c r="H11" i="7"/>
  <c r="F11" i="7"/>
  <c r="J10" i="7"/>
  <c r="I10" i="7"/>
  <c r="H10" i="7"/>
  <c r="F10" i="7"/>
  <c r="J9" i="7"/>
  <c r="I9" i="7"/>
  <c r="H9" i="7"/>
  <c r="F9" i="7"/>
  <c r="J8" i="7"/>
  <c r="I8" i="7"/>
  <c r="H8" i="7"/>
  <c r="F8" i="7"/>
  <c r="J7" i="7"/>
  <c r="I7" i="7"/>
  <c r="H7" i="7"/>
  <c r="F7" i="7"/>
  <c r="J6" i="7"/>
  <c r="I6" i="7"/>
  <c r="H6" i="7"/>
  <c r="F6" i="7"/>
  <c r="G38" i="6" l="1"/>
  <c r="H38" i="6"/>
  <c r="I17" i="6"/>
  <c r="I7" i="6"/>
  <c r="I15" i="6"/>
  <c r="H15" i="6"/>
  <c r="G15" i="6"/>
  <c r="I12" i="6"/>
  <c r="H12" i="6"/>
  <c r="G12" i="6"/>
  <c r="I10" i="6"/>
  <c r="H10" i="6"/>
  <c r="G10" i="6"/>
  <c r="H7" i="6"/>
  <c r="G7" i="6"/>
  <c r="F15" i="6"/>
  <c r="F12" i="6"/>
  <c r="F10" i="6"/>
  <c r="F7" i="6"/>
  <c r="F52" i="6"/>
  <c r="K52" i="6" s="1"/>
  <c r="I52" i="6" s="1"/>
  <c r="F51" i="6"/>
  <c r="K51" i="6" s="1"/>
  <c r="I51" i="6" s="1"/>
  <c r="F50" i="6"/>
  <c r="K50" i="6" s="1"/>
  <c r="G50" i="6" s="1"/>
  <c r="I45" i="6"/>
  <c r="F45" i="6"/>
  <c r="K45" i="6" s="1"/>
  <c r="G45" i="6" s="1"/>
  <c r="F44" i="6"/>
  <c r="K44" i="6" s="1"/>
  <c r="G44" i="6" s="1"/>
  <c r="F42" i="6"/>
  <c r="K42" i="6" s="1"/>
  <c r="G42" i="6" s="1"/>
  <c r="F40" i="6"/>
  <c r="K40" i="6" s="1"/>
  <c r="G40" i="6" s="1"/>
  <c r="I39" i="6"/>
  <c r="H39" i="6"/>
  <c r="F39" i="6"/>
  <c r="K39" i="6" s="1"/>
  <c r="G39" i="6" s="1"/>
  <c r="F37" i="6"/>
  <c r="K37" i="6" s="1"/>
  <c r="G37" i="6" s="1"/>
  <c r="F34" i="6"/>
  <c r="K34" i="6" s="1"/>
  <c r="G34" i="6" s="1"/>
  <c r="H17" i="6"/>
  <c r="G17" i="6"/>
  <c r="F17" i="6"/>
  <c r="I16" i="6"/>
  <c r="H16" i="6"/>
  <c r="G16" i="6"/>
  <c r="F16" i="6"/>
  <c r="I14" i="6"/>
  <c r="H14" i="6"/>
  <c r="G14" i="6"/>
  <c r="F14" i="6"/>
  <c r="I13" i="6"/>
  <c r="H13" i="6"/>
  <c r="G13" i="6"/>
  <c r="F13" i="6"/>
  <c r="I11" i="6"/>
  <c r="H11" i="6"/>
  <c r="G11" i="6"/>
  <c r="F11" i="6"/>
  <c r="I9" i="6"/>
  <c r="H9" i="6"/>
  <c r="G9" i="6"/>
  <c r="F9" i="6"/>
  <c r="I8" i="6"/>
  <c r="H8" i="6"/>
  <c r="G8" i="6"/>
  <c r="F8" i="6"/>
  <c r="H6" i="6"/>
  <c r="G6" i="6"/>
  <c r="F6" i="6"/>
  <c r="I50" i="6" l="1"/>
  <c r="I40" i="6"/>
  <c r="H45" i="6"/>
  <c r="H34" i="6"/>
  <c r="I37" i="6"/>
  <c r="H42" i="6"/>
  <c r="I44" i="6"/>
  <c r="G51" i="6"/>
  <c r="G52" i="6"/>
  <c r="I34" i="6"/>
  <c r="H40" i="6"/>
  <c r="I42" i="6"/>
  <c r="H50" i="6"/>
  <c r="H51" i="6"/>
  <c r="H52" i="6"/>
  <c r="H37" i="6"/>
  <c r="H44" i="6"/>
  <c r="F3" i="3"/>
  <c r="E4" i="4" l="1"/>
  <c r="D4" i="4"/>
  <c r="F4" i="4"/>
  <c r="AB4" i="3"/>
  <c r="AM4" i="3"/>
  <c r="AB5" i="3"/>
  <c r="AM5" i="3"/>
  <c r="AB6" i="3"/>
  <c r="AM6" i="3"/>
  <c r="AB70" i="3"/>
  <c r="AM70" i="3"/>
  <c r="AB7" i="3"/>
  <c r="AM7" i="3"/>
  <c r="AB8" i="3"/>
  <c r="AM8" i="3"/>
  <c r="AB9" i="3"/>
  <c r="AM9" i="3"/>
  <c r="AB77" i="3"/>
  <c r="AM77" i="3"/>
  <c r="AB10" i="3"/>
  <c r="AM10" i="3"/>
  <c r="AB11" i="3"/>
  <c r="AM11" i="3"/>
  <c r="AB12" i="3"/>
  <c r="AM12" i="3"/>
  <c r="AB76" i="3"/>
  <c r="AM76" i="3"/>
  <c r="AB74" i="3"/>
  <c r="AM74" i="3"/>
  <c r="AB71" i="3"/>
  <c r="AM71" i="3"/>
  <c r="AB13" i="3"/>
  <c r="AM13" i="3"/>
  <c r="AB14" i="3"/>
  <c r="AM14" i="3"/>
  <c r="AB15" i="3"/>
  <c r="AM15" i="3"/>
  <c r="AB16" i="3"/>
  <c r="AM16" i="3"/>
  <c r="AB17" i="3"/>
  <c r="AM17" i="3"/>
  <c r="AB18" i="3"/>
  <c r="F34" i="4" s="1"/>
  <c r="AM18" i="3"/>
  <c r="G34" i="4" s="1"/>
  <c r="AB19" i="3"/>
  <c r="AM19" i="3"/>
  <c r="AB20" i="3"/>
  <c r="AM20" i="3"/>
  <c r="AB21" i="3"/>
  <c r="AM21" i="3"/>
  <c r="AB22" i="3"/>
  <c r="AM22" i="3"/>
  <c r="AB23" i="3"/>
  <c r="AM23" i="3"/>
  <c r="AB83" i="3"/>
  <c r="AM83" i="3"/>
  <c r="AB24" i="3"/>
  <c r="AM24" i="3"/>
  <c r="AB25" i="3"/>
  <c r="AM25" i="3"/>
  <c r="AB26" i="3"/>
  <c r="AM26" i="3"/>
  <c r="AB27" i="3"/>
  <c r="AM27" i="3"/>
  <c r="AB28" i="3"/>
  <c r="AM28" i="3"/>
  <c r="AB29" i="3"/>
  <c r="AM29" i="3"/>
  <c r="AB30" i="3"/>
  <c r="AM30" i="3"/>
  <c r="AB31" i="3"/>
  <c r="AM31" i="3"/>
  <c r="AB32" i="3"/>
  <c r="AM32" i="3"/>
  <c r="AB33" i="3"/>
  <c r="AM33" i="3"/>
  <c r="AB78" i="3"/>
  <c r="AM78" i="3"/>
  <c r="AB34" i="3"/>
  <c r="AM34" i="3"/>
  <c r="AB36" i="3"/>
  <c r="AM36" i="3"/>
  <c r="AB37" i="3"/>
  <c r="AM37" i="3"/>
  <c r="AB48" i="3"/>
  <c r="AM48" i="3"/>
  <c r="AB80" i="3"/>
  <c r="AM80" i="3"/>
  <c r="AB72" i="3"/>
  <c r="AM72" i="3"/>
  <c r="AB38" i="3"/>
  <c r="AM38" i="3"/>
  <c r="AB39" i="3"/>
  <c r="AM39" i="3"/>
  <c r="AB40" i="3"/>
  <c r="AM40" i="3"/>
  <c r="AB73" i="3"/>
  <c r="AM73" i="3"/>
  <c r="AB41" i="3"/>
  <c r="AM41" i="3"/>
  <c r="AB42" i="3"/>
  <c r="AM42" i="3"/>
  <c r="AB81" i="3"/>
  <c r="AM81" i="3"/>
  <c r="AB43" i="3"/>
  <c r="AM43" i="3"/>
  <c r="AB44" i="3"/>
  <c r="AM44" i="3"/>
  <c r="AB45" i="3"/>
  <c r="AM45" i="3"/>
  <c r="AB46" i="3"/>
  <c r="AM46" i="3"/>
  <c r="AB47" i="3"/>
  <c r="AM47" i="3"/>
  <c r="AB49" i="3"/>
  <c r="AM49" i="3"/>
  <c r="AB35" i="3"/>
  <c r="AM35" i="3"/>
  <c r="AB50" i="3"/>
  <c r="AM50" i="3"/>
  <c r="AB51" i="3"/>
  <c r="AM51" i="3"/>
  <c r="AB52" i="3"/>
  <c r="AM52" i="3"/>
  <c r="AB53" i="3"/>
  <c r="AM53" i="3"/>
  <c r="AB54" i="3"/>
  <c r="AM54" i="3"/>
  <c r="AB82" i="3"/>
  <c r="AM82" i="3"/>
  <c r="AB55" i="3"/>
  <c r="AM55" i="3"/>
  <c r="AB56" i="3"/>
  <c r="AM56" i="3"/>
  <c r="AB57" i="3"/>
  <c r="AM57" i="3"/>
  <c r="AB58" i="3"/>
  <c r="AM58" i="3"/>
  <c r="AB59" i="3"/>
  <c r="AM59" i="3"/>
  <c r="AB60" i="3"/>
  <c r="AM60" i="3"/>
  <c r="AB65" i="3"/>
  <c r="AM65" i="3"/>
  <c r="AB75" i="3"/>
  <c r="AM75" i="3"/>
  <c r="AB61" i="3"/>
  <c r="AM61" i="3"/>
  <c r="AB62" i="3"/>
  <c r="AM62" i="3"/>
  <c r="AB63" i="3"/>
  <c r="AM63" i="3"/>
  <c r="AB64" i="3"/>
  <c r="AM64" i="3"/>
  <c r="AB66" i="3"/>
  <c r="AM66" i="3"/>
  <c r="AB67" i="3"/>
  <c r="AM67" i="3"/>
  <c r="AB79" i="3"/>
  <c r="AM79" i="3"/>
  <c r="AB68" i="3"/>
  <c r="AM68" i="3"/>
  <c r="AB69" i="3"/>
  <c r="AM69" i="3"/>
  <c r="AM3" i="3"/>
  <c r="AB3" i="3"/>
  <c r="AA4" i="3"/>
  <c r="AL4" i="3"/>
  <c r="AA5" i="3"/>
  <c r="AL5" i="3"/>
  <c r="AA6" i="3"/>
  <c r="AL6" i="3"/>
  <c r="AA70" i="3"/>
  <c r="AL70" i="3"/>
  <c r="AA7" i="3"/>
  <c r="AL7" i="3"/>
  <c r="AA8" i="3"/>
  <c r="AL8" i="3"/>
  <c r="AA9" i="3"/>
  <c r="AL9" i="3"/>
  <c r="AA77" i="3"/>
  <c r="AL77" i="3"/>
  <c r="AA10" i="3"/>
  <c r="AL10" i="3"/>
  <c r="AA11" i="3"/>
  <c r="AL11" i="3"/>
  <c r="AA12" i="3"/>
  <c r="AL12" i="3"/>
  <c r="AA76" i="3"/>
  <c r="AL76" i="3"/>
  <c r="AA74" i="3"/>
  <c r="AL74" i="3"/>
  <c r="AA71" i="3"/>
  <c r="AL71" i="3"/>
  <c r="AA13" i="3"/>
  <c r="AL13" i="3"/>
  <c r="AA14" i="3"/>
  <c r="AL14" i="3"/>
  <c r="AA15" i="3"/>
  <c r="AL15" i="3"/>
  <c r="AA16" i="3"/>
  <c r="AL16" i="3"/>
  <c r="AA17" i="3"/>
  <c r="AL17" i="3"/>
  <c r="AA18" i="3"/>
  <c r="F33" i="4" s="1"/>
  <c r="AL18" i="3"/>
  <c r="G33" i="4" s="1"/>
  <c r="AA19" i="3"/>
  <c r="AL19" i="3"/>
  <c r="AA20" i="3"/>
  <c r="AL20" i="3"/>
  <c r="AA21" i="3"/>
  <c r="AL21" i="3"/>
  <c r="AA22" i="3"/>
  <c r="AL22" i="3"/>
  <c r="AA23" i="3"/>
  <c r="AL23" i="3"/>
  <c r="AA83" i="3"/>
  <c r="AL83" i="3"/>
  <c r="AA24" i="3"/>
  <c r="AL24" i="3"/>
  <c r="AA25" i="3"/>
  <c r="AL25" i="3"/>
  <c r="AA26" i="3"/>
  <c r="AL26" i="3"/>
  <c r="AA27" i="3"/>
  <c r="AL27" i="3"/>
  <c r="AA28" i="3"/>
  <c r="AL28" i="3"/>
  <c r="AA29" i="3"/>
  <c r="AL29" i="3"/>
  <c r="AA30" i="3"/>
  <c r="AL30" i="3"/>
  <c r="AA31" i="3"/>
  <c r="AL31" i="3"/>
  <c r="AA32" i="3"/>
  <c r="AL32" i="3"/>
  <c r="AA33" i="3"/>
  <c r="AL33" i="3"/>
  <c r="AA78" i="3"/>
  <c r="AL78" i="3"/>
  <c r="AA34" i="3"/>
  <c r="AL34" i="3"/>
  <c r="AA36" i="3"/>
  <c r="AL36" i="3"/>
  <c r="AA37" i="3"/>
  <c r="AL37" i="3"/>
  <c r="AA48" i="3"/>
  <c r="AL48" i="3"/>
  <c r="AA80" i="3"/>
  <c r="AL80" i="3"/>
  <c r="AA72" i="3"/>
  <c r="AL72" i="3"/>
  <c r="AA38" i="3"/>
  <c r="AL38" i="3"/>
  <c r="AA39" i="3"/>
  <c r="AL39" i="3"/>
  <c r="AA40" i="3"/>
  <c r="AL40" i="3"/>
  <c r="AA73" i="3"/>
  <c r="AL73" i="3"/>
  <c r="AA41" i="3"/>
  <c r="AL41" i="3"/>
  <c r="AA42" i="3"/>
  <c r="AL42" i="3"/>
  <c r="AA81" i="3"/>
  <c r="AL81" i="3"/>
  <c r="AA43" i="3"/>
  <c r="AL43" i="3"/>
  <c r="AA44" i="3"/>
  <c r="AL44" i="3"/>
  <c r="AA45" i="3"/>
  <c r="AL45" i="3"/>
  <c r="AA46" i="3"/>
  <c r="AL46" i="3"/>
  <c r="AA47" i="3"/>
  <c r="AL47" i="3"/>
  <c r="AA49" i="3"/>
  <c r="AL49" i="3"/>
  <c r="AA35" i="3"/>
  <c r="AL35" i="3"/>
  <c r="AA50" i="3"/>
  <c r="AL50" i="3"/>
  <c r="AA51" i="3"/>
  <c r="AL51" i="3"/>
  <c r="AA52" i="3"/>
  <c r="AL52" i="3"/>
  <c r="AA53" i="3"/>
  <c r="AL53" i="3"/>
  <c r="AA54" i="3"/>
  <c r="AL54" i="3"/>
  <c r="AA82" i="3"/>
  <c r="AL82" i="3"/>
  <c r="AA55" i="3"/>
  <c r="AL55" i="3"/>
  <c r="AA56" i="3"/>
  <c r="AL56" i="3"/>
  <c r="AA57" i="3"/>
  <c r="AL57" i="3"/>
  <c r="AA58" i="3"/>
  <c r="AL58" i="3"/>
  <c r="AA59" i="3"/>
  <c r="AL59" i="3"/>
  <c r="AA60" i="3"/>
  <c r="AL60" i="3"/>
  <c r="AA65" i="3"/>
  <c r="AL65" i="3"/>
  <c r="AA75" i="3"/>
  <c r="AL75" i="3"/>
  <c r="AA61" i="3"/>
  <c r="AL61" i="3"/>
  <c r="AA62" i="3"/>
  <c r="AL62" i="3"/>
  <c r="AA63" i="3"/>
  <c r="AL63" i="3"/>
  <c r="AA64" i="3"/>
  <c r="AL64" i="3"/>
  <c r="AA66" i="3"/>
  <c r="AL66" i="3"/>
  <c r="AA67" i="3"/>
  <c r="AL67" i="3"/>
  <c r="AA79" i="3"/>
  <c r="AL79" i="3"/>
  <c r="AA68" i="3"/>
  <c r="AL68" i="3"/>
  <c r="AA69" i="3"/>
  <c r="AL69" i="3"/>
  <c r="AL3" i="3"/>
  <c r="AA3" i="3"/>
  <c r="Z4" i="3"/>
  <c r="AK4" i="3"/>
  <c r="Z5" i="3"/>
  <c r="AK5" i="3"/>
  <c r="Z6" i="3"/>
  <c r="AK6" i="3"/>
  <c r="Z70" i="3"/>
  <c r="AK70" i="3"/>
  <c r="Z7" i="3"/>
  <c r="AK7" i="3"/>
  <c r="Z8" i="3"/>
  <c r="AK8" i="3"/>
  <c r="Z9" i="3"/>
  <c r="AK9" i="3"/>
  <c r="Z77" i="3"/>
  <c r="AK77" i="3"/>
  <c r="Z10" i="3"/>
  <c r="AK10" i="3"/>
  <c r="Z11" i="3"/>
  <c r="AK11" i="3"/>
  <c r="Z12" i="3"/>
  <c r="AK12" i="3"/>
  <c r="Z76" i="3"/>
  <c r="AK76" i="3"/>
  <c r="Z74" i="3"/>
  <c r="AK74" i="3"/>
  <c r="Z71" i="3"/>
  <c r="AK71" i="3"/>
  <c r="Z13" i="3"/>
  <c r="AK13" i="3"/>
  <c r="Z14" i="3"/>
  <c r="AK14" i="3"/>
  <c r="Z15" i="3"/>
  <c r="AK15" i="3"/>
  <c r="Z16" i="3"/>
  <c r="AK16" i="3"/>
  <c r="Z17" i="3"/>
  <c r="AK17" i="3"/>
  <c r="Z18" i="3"/>
  <c r="F32" i="4" s="1"/>
  <c r="AK18" i="3"/>
  <c r="G32" i="4" s="1"/>
  <c r="Z19" i="3"/>
  <c r="AK19" i="3"/>
  <c r="Z20" i="3"/>
  <c r="AK20" i="3"/>
  <c r="Z21" i="3"/>
  <c r="AK21" i="3"/>
  <c r="Z22" i="3"/>
  <c r="AK22" i="3"/>
  <c r="Z23" i="3"/>
  <c r="AK23" i="3"/>
  <c r="Z83" i="3"/>
  <c r="AK83" i="3"/>
  <c r="Z24" i="3"/>
  <c r="AK24" i="3"/>
  <c r="Z25" i="3"/>
  <c r="AK25" i="3"/>
  <c r="Z26" i="3"/>
  <c r="AK26" i="3"/>
  <c r="Z27" i="3"/>
  <c r="AK27" i="3"/>
  <c r="Z28" i="3"/>
  <c r="AK28" i="3"/>
  <c r="Z29" i="3"/>
  <c r="AK29" i="3"/>
  <c r="Z30" i="3"/>
  <c r="AK30" i="3"/>
  <c r="Z31" i="3"/>
  <c r="AK31" i="3"/>
  <c r="Z32" i="3"/>
  <c r="AK32" i="3"/>
  <c r="Z33" i="3"/>
  <c r="AK33" i="3"/>
  <c r="Z78" i="3"/>
  <c r="AK78" i="3"/>
  <c r="Z34" i="3"/>
  <c r="AK34" i="3"/>
  <c r="Z36" i="3"/>
  <c r="AK36" i="3"/>
  <c r="Z37" i="3"/>
  <c r="AK37" i="3"/>
  <c r="Z48" i="3"/>
  <c r="AK48" i="3"/>
  <c r="Z80" i="3"/>
  <c r="AK80" i="3"/>
  <c r="Z72" i="3"/>
  <c r="AK72" i="3"/>
  <c r="Z38" i="3"/>
  <c r="AK38" i="3"/>
  <c r="Z39" i="3"/>
  <c r="AK39" i="3"/>
  <c r="Z40" i="3"/>
  <c r="AK40" i="3"/>
  <c r="Z73" i="3"/>
  <c r="AK73" i="3"/>
  <c r="Z41" i="3"/>
  <c r="AK41" i="3"/>
  <c r="Z42" i="3"/>
  <c r="AK42" i="3"/>
  <c r="Z81" i="3"/>
  <c r="AK81" i="3"/>
  <c r="Z43" i="3"/>
  <c r="AK43" i="3"/>
  <c r="Z44" i="3"/>
  <c r="AK44" i="3"/>
  <c r="Z45" i="3"/>
  <c r="AK45" i="3"/>
  <c r="Z46" i="3"/>
  <c r="AK46" i="3"/>
  <c r="Z47" i="3"/>
  <c r="AK47" i="3"/>
  <c r="Z49" i="3"/>
  <c r="AK49" i="3"/>
  <c r="Z35" i="3"/>
  <c r="AK35" i="3"/>
  <c r="Z50" i="3"/>
  <c r="AK50" i="3"/>
  <c r="Z51" i="3"/>
  <c r="AK51" i="3"/>
  <c r="Z52" i="3"/>
  <c r="AK52" i="3"/>
  <c r="Z53" i="3"/>
  <c r="AK53" i="3"/>
  <c r="Z54" i="3"/>
  <c r="AK54" i="3"/>
  <c r="Z82" i="3"/>
  <c r="AK82" i="3"/>
  <c r="Z55" i="3"/>
  <c r="AK55" i="3"/>
  <c r="Z56" i="3"/>
  <c r="AK56" i="3"/>
  <c r="Z57" i="3"/>
  <c r="AK57" i="3"/>
  <c r="Z58" i="3"/>
  <c r="AK58" i="3"/>
  <c r="Z59" i="3"/>
  <c r="AK59" i="3"/>
  <c r="Z60" i="3"/>
  <c r="AK60" i="3"/>
  <c r="Z65" i="3"/>
  <c r="AK65" i="3"/>
  <c r="Z75" i="3"/>
  <c r="AK75" i="3"/>
  <c r="Z61" i="3"/>
  <c r="AK61" i="3"/>
  <c r="Z62" i="3"/>
  <c r="AK62" i="3"/>
  <c r="Z63" i="3"/>
  <c r="AK63" i="3"/>
  <c r="Z64" i="3"/>
  <c r="AK64" i="3"/>
  <c r="Z66" i="3"/>
  <c r="AK66" i="3"/>
  <c r="Z67" i="3"/>
  <c r="AK67" i="3"/>
  <c r="Z79" i="3"/>
  <c r="AK79" i="3"/>
  <c r="Z68" i="3"/>
  <c r="AK68" i="3"/>
  <c r="Z69" i="3"/>
  <c r="AK69" i="3"/>
  <c r="AK3" i="3"/>
  <c r="Z3" i="3"/>
  <c r="Y4" i="3"/>
  <c r="AJ4" i="3"/>
  <c r="Y5" i="3"/>
  <c r="AJ5" i="3"/>
  <c r="Y6" i="3"/>
  <c r="AJ6" i="3"/>
  <c r="Y70" i="3"/>
  <c r="AJ70" i="3"/>
  <c r="Y7" i="3"/>
  <c r="AJ7" i="3"/>
  <c r="Y8" i="3"/>
  <c r="AJ8" i="3"/>
  <c r="Y9" i="3"/>
  <c r="AJ9" i="3"/>
  <c r="Y77" i="3"/>
  <c r="AJ77" i="3"/>
  <c r="Y10" i="3"/>
  <c r="AJ10" i="3"/>
  <c r="Y11" i="3"/>
  <c r="AJ11" i="3"/>
  <c r="Y12" i="3"/>
  <c r="AJ12" i="3"/>
  <c r="Y76" i="3"/>
  <c r="AJ76" i="3"/>
  <c r="Y74" i="3"/>
  <c r="AJ74" i="3"/>
  <c r="Y71" i="3"/>
  <c r="AJ71" i="3"/>
  <c r="Y13" i="3"/>
  <c r="AJ13" i="3"/>
  <c r="Y14" i="3"/>
  <c r="AJ14" i="3"/>
  <c r="Y15" i="3"/>
  <c r="AJ15" i="3"/>
  <c r="Y16" i="3"/>
  <c r="AJ16" i="3"/>
  <c r="Y17" i="3"/>
  <c r="AJ17" i="3"/>
  <c r="Y18" i="3"/>
  <c r="F31" i="4" s="1"/>
  <c r="AJ18" i="3"/>
  <c r="G31" i="4" s="1"/>
  <c r="Y19" i="3"/>
  <c r="AJ19" i="3"/>
  <c r="Y20" i="3"/>
  <c r="AJ20" i="3"/>
  <c r="Y21" i="3"/>
  <c r="AJ21" i="3"/>
  <c r="Y22" i="3"/>
  <c r="AJ22" i="3"/>
  <c r="Y23" i="3"/>
  <c r="AJ23" i="3"/>
  <c r="Y83" i="3"/>
  <c r="AJ83" i="3"/>
  <c r="Y24" i="3"/>
  <c r="AJ24" i="3"/>
  <c r="Y25" i="3"/>
  <c r="AJ25" i="3"/>
  <c r="Y26" i="3"/>
  <c r="AJ26" i="3"/>
  <c r="Y27" i="3"/>
  <c r="AJ27" i="3"/>
  <c r="Y28" i="3"/>
  <c r="AJ28" i="3"/>
  <c r="Y29" i="3"/>
  <c r="AJ29" i="3"/>
  <c r="Y30" i="3"/>
  <c r="AJ30" i="3"/>
  <c r="Y31" i="3"/>
  <c r="AJ31" i="3"/>
  <c r="Y32" i="3"/>
  <c r="AJ32" i="3"/>
  <c r="Y33" i="3"/>
  <c r="AJ33" i="3"/>
  <c r="Y78" i="3"/>
  <c r="AJ78" i="3"/>
  <c r="Y34" i="3"/>
  <c r="AJ34" i="3"/>
  <c r="Y36" i="3"/>
  <c r="AJ36" i="3"/>
  <c r="Y37" i="3"/>
  <c r="AJ37" i="3"/>
  <c r="Y48" i="3"/>
  <c r="AJ48" i="3"/>
  <c r="Y80" i="3"/>
  <c r="AJ80" i="3"/>
  <c r="Y72" i="3"/>
  <c r="AJ72" i="3"/>
  <c r="Y38" i="3"/>
  <c r="AJ38" i="3"/>
  <c r="Y39" i="3"/>
  <c r="AJ39" i="3"/>
  <c r="Y40" i="3"/>
  <c r="AJ40" i="3"/>
  <c r="Y73" i="3"/>
  <c r="AJ73" i="3"/>
  <c r="Y41" i="3"/>
  <c r="AJ41" i="3"/>
  <c r="Y42" i="3"/>
  <c r="AJ42" i="3"/>
  <c r="Y81" i="3"/>
  <c r="AJ81" i="3"/>
  <c r="Y43" i="3"/>
  <c r="AJ43" i="3"/>
  <c r="Y44" i="3"/>
  <c r="AJ44" i="3"/>
  <c r="Y45" i="3"/>
  <c r="AJ45" i="3"/>
  <c r="Y46" i="3"/>
  <c r="AJ46" i="3"/>
  <c r="Y47" i="3"/>
  <c r="AJ47" i="3"/>
  <c r="Y49" i="3"/>
  <c r="AJ49" i="3"/>
  <c r="Y35" i="3"/>
  <c r="AJ35" i="3"/>
  <c r="Y50" i="3"/>
  <c r="AJ50" i="3"/>
  <c r="Y51" i="3"/>
  <c r="AJ51" i="3"/>
  <c r="Y52" i="3"/>
  <c r="AJ52" i="3"/>
  <c r="Y53" i="3"/>
  <c r="AJ53" i="3"/>
  <c r="Y54" i="3"/>
  <c r="AJ54" i="3"/>
  <c r="Y82" i="3"/>
  <c r="AJ82" i="3"/>
  <c r="Y55" i="3"/>
  <c r="AJ55" i="3"/>
  <c r="Y56" i="3"/>
  <c r="AJ56" i="3"/>
  <c r="Y57" i="3"/>
  <c r="AJ57" i="3"/>
  <c r="Y58" i="3"/>
  <c r="AJ58" i="3"/>
  <c r="Y59" i="3"/>
  <c r="AJ59" i="3"/>
  <c r="Y60" i="3"/>
  <c r="AJ60" i="3"/>
  <c r="Y65" i="3"/>
  <c r="AJ65" i="3"/>
  <c r="Y75" i="3"/>
  <c r="AJ75" i="3"/>
  <c r="Y61" i="3"/>
  <c r="AJ61" i="3"/>
  <c r="Y62" i="3"/>
  <c r="AJ62" i="3"/>
  <c r="Y63" i="3"/>
  <c r="AJ63" i="3"/>
  <c r="Y64" i="3"/>
  <c r="AJ64" i="3"/>
  <c r="Y66" i="3"/>
  <c r="AJ66" i="3"/>
  <c r="Y67" i="3"/>
  <c r="AJ67" i="3"/>
  <c r="Y79" i="3"/>
  <c r="AJ79" i="3"/>
  <c r="Y68" i="3"/>
  <c r="AJ68" i="3"/>
  <c r="Y69" i="3"/>
  <c r="AJ69" i="3"/>
  <c r="AJ3" i="3"/>
  <c r="Y3" i="3"/>
  <c r="X4" i="3"/>
  <c r="AI4" i="3"/>
  <c r="X5" i="3"/>
  <c r="AI5" i="3"/>
  <c r="X6" i="3"/>
  <c r="AI6" i="3"/>
  <c r="X70" i="3"/>
  <c r="AI70" i="3"/>
  <c r="X7" i="3"/>
  <c r="AI7" i="3"/>
  <c r="X8" i="3"/>
  <c r="AI8" i="3"/>
  <c r="X9" i="3"/>
  <c r="AI9" i="3"/>
  <c r="X77" i="3"/>
  <c r="AI77" i="3"/>
  <c r="X10" i="3"/>
  <c r="AI10" i="3"/>
  <c r="X11" i="3"/>
  <c r="AI11" i="3"/>
  <c r="X12" i="3"/>
  <c r="AI12" i="3"/>
  <c r="X76" i="3"/>
  <c r="AI76" i="3"/>
  <c r="X74" i="3"/>
  <c r="AI74" i="3"/>
  <c r="X71" i="3"/>
  <c r="AI71" i="3"/>
  <c r="X13" i="3"/>
  <c r="AI13" i="3"/>
  <c r="X14" i="3"/>
  <c r="AI14" i="3"/>
  <c r="X15" i="3"/>
  <c r="AI15" i="3"/>
  <c r="X16" i="3"/>
  <c r="AI16" i="3"/>
  <c r="X17" i="3"/>
  <c r="AI17" i="3"/>
  <c r="X18" i="3"/>
  <c r="F30" i="4" s="1"/>
  <c r="AI18" i="3"/>
  <c r="G30" i="4" s="1"/>
  <c r="X19" i="3"/>
  <c r="AI19" i="3"/>
  <c r="X20" i="3"/>
  <c r="AI20" i="3"/>
  <c r="X21" i="3"/>
  <c r="AI21" i="3"/>
  <c r="X22" i="3"/>
  <c r="AI22" i="3"/>
  <c r="X23" i="3"/>
  <c r="AI23" i="3"/>
  <c r="X83" i="3"/>
  <c r="AI83" i="3"/>
  <c r="X24" i="3"/>
  <c r="AI24" i="3"/>
  <c r="X25" i="3"/>
  <c r="AI25" i="3"/>
  <c r="X26" i="3"/>
  <c r="AI26" i="3"/>
  <c r="X27" i="3"/>
  <c r="AI27" i="3"/>
  <c r="X28" i="3"/>
  <c r="AI28" i="3"/>
  <c r="X29" i="3"/>
  <c r="AI29" i="3"/>
  <c r="X30" i="3"/>
  <c r="AI30" i="3"/>
  <c r="X31" i="3"/>
  <c r="AI31" i="3"/>
  <c r="X32" i="3"/>
  <c r="AI32" i="3"/>
  <c r="X33" i="3"/>
  <c r="AI33" i="3"/>
  <c r="X78" i="3"/>
  <c r="AI78" i="3"/>
  <c r="X34" i="3"/>
  <c r="AI34" i="3"/>
  <c r="X36" i="3"/>
  <c r="AI36" i="3"/>
  <c r="X37" i="3"/>
  <c r="AI37" i="3"/>
  <c r="X48" i="3"/>
  <c r="AI48" i="3"/>
  <c r="X80" i="3"/>
  <c r="AI80" i="3"/>
  <c r="X72" i="3"/>
  <c r="AI72" i="3"/>
  <c r="X38" i="3"/>
  <c r="AI38" i="3"/>
  <c r="X39" i="3"/>
  <c r="AI39" i="3"/>
  <c r="X40" i="3"/>
  <c r="AI40" i="3"/>
  <c r="X73" i="3"/>
  <c r="AI73" i="3"/>
  <c r="X41" i="3"/>
  <c r="AI41" i="3"/>
  <c r="X42" i="3"/>
  <c r="AI42" i="3"/>
  <c r="X81" i="3"/>
  <c r="AI81" i="3"/>
  <c r="X43" i="3"/>
  <c r="AI43" i="3"/>
  <c r="X44" i="3"/>
  <c r="AI44" i="3"/>
  <c r="X45" i="3"/>
  <c r="AI45" i="3"/>
  <c r="X46" i="3"/>
  <c r="AI46" i="3"/>
  <c r="X47" i="3"/>
  <c r="AI47" i="3"/>
  <c r="X49" i="3"/>
  <c r="AI49" i="3"/>
  <c r="X35" i="3"/>
  <c r="AI35" i="3"/>
  <c r="X50" i="3"/>
  <c r="AI50" i="3"/>
  <c r="X51" i="3"/>
  <c r="AI51" i="3"/>
  <c r="X52" i="3"/>
  <c r="AI52" i="3"/>
  <c r="X53" i="3"/>
  <c r="AI53" i="3"/>
  <c r="X54" i="3"/>
  <c r="AI54" i="3"/>
  <c r="X82" i="3"/>
  <c r="AI82" i="3"/>
  <c r="X55" i="3"/>
  <c r="AI55" i="3"/>
  <c r="X56" i="3"/>
  <c r="AI56" i="3"/>
  <c r="X57" i="3"/>
  <c r="AI57" i="3"/>
  <c r="X58" i="3"/>
  <c r="AI58" i="3"/>
  <c r="X59" i="3"/>
  <c r="AI59" i="3"/>
  <c r="X60" i="3"/>
  <c r="AI60" i="3"/>
  <c r="X65" i="3"/>
  <c r="AI65" i="3"/>
  <c r="X75" i="3"/>
  <c r="AI75" i="3"/>
  <c r="X61" i="3"/>
  <c r="AI61" i="3"/>
  <c r="X62" i="3"/>
  <c r="AI62" i="3"/>
  <c r="X63" i="3"/>
  <c r="AI63" i="3"/>
  <c r="X64" i="3"/>
  <c r="AI64" i="3"/>
  <c r="X66" i="3"/>
  <c r="AI66" i="3"/>
  <c r="X67" i="3"/>
  <c r="AI67" i="3"/>
  <c r="X79" i="3"/>
  <c r="AI79" i="3"/>
  <c r="X68" i="3"/>
  <c r="AI68" i="3"/>
  <c r="X69" i="3"/>
  <c r="AI69" i="3"/>
  <c r="AI3" i="3"/>
  <c r="X3" i="3"/>
  <c r="W4" i="3"/>
  <c r="AH4" i="3"/>
  <c r="W5" i="3"/>
  <c r="AH5" i="3"/>
  <c r="W6" i="3"/>
  <c r="AH6" i="3"/>
  <c r="W70" i="3"/>
  <c r="AH70" i="3"/>
  <c r="W7" i="3"/>
  <c r="AH7" i="3"/>
  <c r="W8" i="3"/>
  <c r="AH8" i="3"/>
  <c r="W9" i="3"/>
  <c r="AH9" i="3"/>
  <c r="W77" i="3"/>
  <c r="AH77" i="3"/>
  <c r="W10" i="3"/>
  <c r="AH10" i="3"/>
  <c r="W11" i="3"/>
  <c r="AH11" i="3"/>
  <c r="W12" i="3"/>
  <c r="AH12" i="3"/>
  <c r="W76" i="3"/>
  <c r="AH76" i="3"/>
  <c r="W74" i="3"/>
  <c r="AH74" i="3"/>
  <c r="W71" i="3"/>
  <c r="AH71" i="3"/>
  <c r="W13" i="3"/>
  <c r="AH13" i="3"/>
  <c r="W14" i="3"/>
  <c r="AH14" i="3"/>
  <c r="W15" i="3"/>
  <c r="AH15" i="3"/>
  <c r="W16" i="3"/>
  <c r="AH16" i="3"/>
  <c r="W17" i="3"/>
  <c r="AH17" i="3"/>
  <c r="W18" i="3"/>
  <c r="F29" i="4" s="1"/>
  <c r="AH18" i="3"/>
  <c r="G29" i="4" s="1"/>
  <c r="W19" i="3"/>
  <c r="AH19" i="3"/>
  <c r="W20" i="3"/>
  <c r="AH20" i="3"/>
  <c r="W21" i="3"/>
  <c r="AH21" i="3"/>
  <c r="W22" i="3"/>
  <c r="AH22" i="3"/>
  <c r="W23" i="3"/>
  <c r="AH23" i="3"/>
  <c r="W83" i="3"/>
  <c r="AH83" i="3"/>
  <c r="W24" i="3"/>
  <c r="AH24" i="3"/>
  <c r="W25" i="3"/>
  <c r="AH25" i="3"/>
  <c r="W26" i="3"/>
  <c r="AH26" i="3"/>
  <c r="W27" i="3"/>
  <c r="AH27" i="3"/>
  <c r="W28" i="3"/>
  <c r="AH28" i="3"/>
  <c r="W29" i="3"/>
  <c r="AH29" i="3"/>
  <c r="W30" i="3"/>
  <c r="AH30" i="3"/>
  <c r="W31" i="3"/>
  <c r="AH31" i="3"/>
  <c r="W32" i="3"/>
  <c r="AH32" i="3"/>
  <c r="W33" i="3"/>
  <c r="AH33" i="3"/>
  <c r="W78" i="3"/>
  <c r="AH78" i="3"/>
  <c r="W34" i="3"/>
  <c r="AH34" i="3"/>
  <c r="W36" i="3"/>
  <c r="AH36" i="3"/>
  <c r="W37" i="3"/>
  <c r="AH37" i="3"/>
  <c r="W48" i="3"/>
  <c r="AH48" i="3"/>
  <c r="W80" i="3"/>
  <c r="AH80" i="3"/>
  <c r="W72" i="3"/>
  <c r="AH72" i="3"/>
  <c r="W38" i="3"/>
  <c r="AH38" i="3"/>
  <c r="W39" i="3"/>
  <c r="AH39" i="3"/>
  <c r="W40" i="3"/>
  <c r="AH40" i="3"/>
  <c r="W73" i="3"/>
  <c r="AH73" i="3"/>
  <c r="W41" i="3"/>
  <c r="AH41" i="3"/>
  <c r="W42" i="3"/>
  <c r="AH42" i="3"/>
  <c r="W81" i="3"/>
  <c r="AH81" i="3"/>
  <c r="W43" i="3"/>
  <c r="AH43" i="3"/>
  <c r="W44" i="3"/>
  <c r="AH44" i="3"/>
  <c r="W45" i="3"/>
  <c r="AH45" i="3"/>
  <c r="W46" i="3"/>
  <c r="AH46" i="3"/>
  <c r="W47" i="3"/>
  <c r="AH47" i="3"/>
  <c r="W49" i="3"/>
  <c r="AH49" i="3"/>
  <c r="W35" i="3"/>
  <c r="AH35" i="3"/>
  <c r="W50" i="3"/>
  <c r="AH50" i="3"/>
  <c r="W51" i="3"/>
  <c r="AH51" i="3"/>
  <c r="W52" i="3"/>
  <c r="AH52" i="3"/>
  <c r="W53" i="3"/>
  <c r="AH53" i="3"/>
  <c r="W54" i="3"/>
  <c r="AH54" i="3"/>
  <c r="W82" i="3"/>
  <c r="AH82" i="3"/>
  <c r="W55" i="3"/>
  <c r="AH55" i="3"/>
  <c r="W56" i="3"/>
  <c r="AH56" i="3"/>
  <c r="W57" i="3"/>
  <c r="AH57" i="3"/>
  <c r="W58" i="3"/>
  <c r="AH58" i="3"/>
  <c r="W59" i="3"/>
  <c r="AH59" i="3"/>
  <c r="W60" i="3"/>
  <c r="AH60" i="3"/>
  <c r="W65" i="3"/>
  <c r="AH65" i="3"/>
  <c r="W75" i="3"/>
  <c r="AH75" i="3"/>
  <c r="W61" i="3"/>
  <c r="AH61" i="3"/>
  <c r="W62" i="3"/>
  <c r="AH62" i="3"/>
  <c r="W63" i="3"/>
  <c r="AH63" i="3"/>
  <c r="W64" i="3"/>
  <c r="AH64" i="3"/>
  <c r="W66" i="3"/>
  <c r="AH66" i="3"/>
  <c r="W67" i="3"/>
  <c r="AH67" i="3"/>
  <c r="W79" i="3"/>
  <c r="AH79" i="3"/>
  <c r="W68" i="3"/>
  <c r="AH68" i="3"/>
  <c r="W69" i="3"/>
  <c r="AH69" i="3"/>
  <c r="AH3" i="3"/>
  <c r="W3" i="3"/>
  <c r="V4" i="3"/>
  <c r="AG4" i="3"/>
  <c r="V5" i="3"/>
  <c r="AG5" i="3"/>
  <c r="V6" i="3"/>
  <c r="AG6" i="3"/>
  <c r="V70" i="3"/>
  <c r="AG70" i="3"/>
  <c r="V7" i="3"/>
  <c r="AG7" i="3"/>
  <c r="V8" i="3"/>
  <c r="AG8" i="3"/>
  <c r="V9" i="3"/>
  <c r="AG9" i="3"/>
  <c r="V77" i="3"/>
  <c r="AG77" i="3"/>
  <c r="V10" i="3"/>
  <c r="AG10" i="3"/>
  <c r="V11" i="3"/>
  <c r="AG11" i="3"/>
  <c r="V12" i="3"/>
  <c r="AG12" i="3"/>
  <c r="V76" i="3"/>
  <c r="AG76" i="3"/>
  <c r="V74" i="3"/>
  <c r="AG74" i="3"/>
  <c r="V71" i="3"/>
  <c r="AG71" i="3"/>
  <c r="V13" i="3"/>
  <c r="AG13" i="3"/>
  <c r="V14" i="3"/>
  <c r="AG14" i="3"/>
  <c r="V15" i="3"/>
  <c r="AG15" i="3"/>
  <c r="V16" i="3"/>
  <c r="AG16" i="3"/>
  <c r="V17" i="3"/>
  <c r="AG17" i="3"/>
  <c r="V18" i="3"/>
  <c r="F28" i="4" s="1"/>
  <c r="AG18" i="3"/>
  <c r="G28" i="4" s="1"/>
  <c r="V19" i="3"/>
  <c r="AG19" i="3"/>
  <c r="V20" i="3"/>
  <c r="AG20" i="3"/>
  <c r="V21" i="3"/>
  <c r="AG21" i="3"/>
  <c r="V22" i="3"/>
  <c r="AG22" i="3"/>
  <c r="V23" i="3"/>
  <c r="AG23" i="3"/>
  <c r="V83" i="3"/>
  <c r="AG83" i="3"/>
  <c r="V24" i="3"/>
  <c r="AG24" i="3"/>
  <c r="V25" i="3"/>
  <c r="AG25" i="3"/>
  <c r="V26" i="3"/>
  <c r="AG26" i="3"/>
  <c r="V27" i="3"/>
  <c r="AG27" i="3"/>
  <c r="V28" i="3"/>
  <c r="AG28" i="3"/>
  <c r="V29" i="3"/>
  <c r="AG29" i="3"/>
  <c r="V30" i="3"/>
  <c r="AG30" i="3"/>
  <c r="V31" i="3"/>
  <c r="AG31" i="3"/>
  <c r="V32" i="3"/>
  <c r="AG32" i="3"/>
  <c r="V33" i="3"/>
  <c r="AG33" i="3"/>
  <c r="V78" i="3"/>
  <c r="AG78" i="3"/>
  <c r="V34" i="3"/>
  <c r="AG34" i="3"/>
  <c r="V36" i="3"/>
  <c r="AG36" i="3"/>
  <c r="V37" i="3"/>
  <c r="AG37" i="3"/>
  <c r="V48" i="3"/>
  <c r="AG48" i="3"/>
  <c r="V80" i="3"/>
  <c r="AG80" i="3"/>
  <c r="V72" i="3"/>
  <c r="AG72" i="3"/>
  <c r="V38" i="3"/>
  <c r="AG38" i="3"/>
  <c r="V39" i="3"/>
  <c r="AG39" i="3"/>
  <c r="V40" i="3"/>
  <c r="AG40" i="3"/>
  <c r="V73" i="3"/>
  <c r="AG73" i="3"/>
  <c r="V41" i="3"/>
  <c r="AG41" i="3"/>
  <c r="V42" i="3"/>
  <c r="AG42" i="3"/>
  <c r="V81" i="3"/>
  <c r="AG81" i="3"/>
  <c r="V43" i="3"/>
  <c r="AG43" i="3"/>
  <c r="V44" i="3"/>
  <c r="AG44" i="3"/>
  <c r="V45" i="3"/>
  <c r="AG45" i="3"/>
  <c r="V46" i="3"/>
  <c r="AG46" i="3"/>
  <c r="V47" i="3"/>
  <c r="AG47" i="3"/>
  <c r="V49" i="3"/>
  <c r="AG49" i="3"/>
  <c r="V35" i="3"/>
  <c r="AG35" i="3"/>
  <c r="V50" i="3"/>
  <c r="AG50" i="3"/>
  <c r="V51" i="3"/>
  <c r="AG51" i="3"/>
  <c r="V52" i="3"/>
  <c r="AG52" i="3"/>
  <c r="V53" i="3"/>
  <c r="AG53" i="3"/>
  <c r="V54" i="3"/>
  <c r="AG54" i="3"/>
  <c r="V82" i="3"/>
  <c r="AG82" i="3"/>
  <c r="V55" i="3"/>
  <c r="AG55" i="3"/>
  <c r="V56" i="3"/>
  <c r="AG56" i="3"/>
  <c r="V57" i="3"/>
  <c r="AG57" i="3"/>
  <c r="V58" i="3"/>
  <c r="AG58" i="3"/>
  <c r="V59" i="3"/>
  <c r="AG59" i="3"/>
  <c r="V60" i="3"/>
  <c r="AG60" i="3"/>
  <c r="V65" i="3"/>
  <c r="AG65" i="3"/>
  <c r="V75" i="3"/>
  <c r="AG75" i="3"/>
  <c r="V61" i="3"/>
  <c r="AG61" i="3"/>
  <c r="V62" i="3"/>
  <c r="AG62" i="3"/>
  <c r="V63" i="3"/>
  <c r="AG63" i="3"/>
  <c r="V64" i="3"/>
  <c r="AG64" i="3"/>
  <c r="V66" i="3"/>
  <c r="AG66" i="3"/>
  <c r="V67" i="3"/>
  <c r="AG67" i="3"/>
  <c r="V79" i="3"/>
  <c r="AG79" i="3"/>
  <c r="V68" i="3"/>
  <c r="AG68" i="3"/>
  <c r="V69" i="3"/>
  <c r="AG69" i="3"/>
  <c r="AG3" i="3"/>
  <c r="V3" i="3"/>
  <c r="T4" i="3"/>
  <c r="AE4" i="3"/>
  <c r="T5" i="3"/>
  <c r="AE5" i="3"/>
  <c r="T6" i="3"/>
  <c r="AE6" i="3"/>
  <c r="T70" i="3"/>
  <c r="AE70" i="3"/>
  <c r="T7" i="3"/>
  <c r="AE7" i="3"/>
  <c r="T8" i="3"/>
  <c r="AE8" i="3"/>
  <c r="T9" i="3"/>
  <c r="AE9" i="3"/>
  <c r="T77" i="3"/>
  <c r="AE77" i="3"/>
  <c r="T10" i="3"/>
  <c r="AE10" i="3"/>
  <c r="T11" i="3"/>
  <c r="AE11" i="3"/>
  <c r="T12" i="3"/>
  <c r="AE12" i="3"/>
  <c r="T76" i="3"/>
  <c r="AE76" i="3"/>
  <c r="T74" i="3"/>
  <c r="AE74" i="3"/>
  <c r="T71" i="3"/>
  <c r="AE71" i="3"/>
  <c r="T13" i="3"/>
  <c r="AE13" i="3"/>
  <c r="T14" i="3"/>
  <c r="AE14" i="3"/>
  <c r="T15" i="3"/>
  <c r="AE15" i="3"/>
  <c r="T16" i="3"/>
  <c r="AE16" i="3"/>
  <c r="T17" i="3"/>
  <c r="AE17" i="3"/>
  <c r="T18" i="3"/>
  <c r="F26" i="4" s="1"/>
  <c r="AE18" i="3"/>
  <c r="G26" i="4" s="1"/>
  <c r="T19" i="3"/>
  <c r="AE19" i="3"/>
  <c r="T20" i="3"/>
  <c r="AE20" i="3"/>
  <c r="T21" i="3"/>
  <c r="AE21" i="3"/>
  <c r="T22" i="3"/>
  <c r="AE22" i="3"/>
  <c r="T23" i="3"/>
  <c r="AE23" i="3"/>
  <c r="T83" i="3"/>
  <c r="AE83" i="3"/>
  <c r="T24" i="3"/>
  <c r="AE24" i="3"/>
  <c r="T25" i="3"/>
  <c r="AE25" i="3"/>
  <c r="T26" i="3"/>
  <c r="AE26" i="3"/>
  <c r="T27" i="3"/>
  <c r="AE27" i="3"/>
  <c r="T28" i="3"/>
  <c r="AE28" i="3"/>
  <c r="T29" i="3"/>
  <c r="AE29" i="3"/>
  <c r="T30" i="3"/>
  <c r="AE30" i="3"/>
  <c r="T31" i="3"/>
  <c r="AE31" i="3"/>
  <c r="T32" i="3"/>
  <c r="AE32" i="3"/>
  <c r="T33" i="3"/>
  <c r="AE33" i="3"/>
  <c r="T78" i="3"/>
  <c r="AE78" i="3"/>
  <c r="T34" i="3"/>
  <c r="AE34" i="3"/>
  <c r="T36" i="3"/>
  <c r="AE36" i="3"/>
  <c r="T37" i="3"/>
  <c r="AE37" i="3"/>
  <c r="T48" i="3"/>
  <c r="AE48" i="3"/>
  <c r="T80" i="3"/>
  <c r="AE80" i="3"/>
  <c r="T72" i="3"/>
  <c r="AE72" i="3"/>
  <c r="T38" i="3"/>
  <c r="AE38" i="3"/>
  <c r="T39" i="3"/>
  <c r="AE39" i="3"/>
  <c r="T40" i="3"/>
  <c r="AE40" i="3"/>
  <c r="T73" i="3"/>
  <c r="AE73" i="3"/>
  <c r="T41" i="3"/>
  <c r="AE41" i="3"/>
  <c r="T42" i="3"/>
  <c r="AE42" i="3"/>
  <c r="T81" i="3"/>
  <c r="AE81" i="3"/>
  <c r="T43" i="3"/>
  <c r="AE43" i="3"/>
  <c r="T44" i="3"/>
  <c r="AE44" i="3"/>
  <c r="T45" i="3"/>
  <c r="AE45" i="3"/>
  <c r="T46" i="3"/>
  <c r="AE46" i="3"/>
  <c r="T47" i="3"/>
  <c r="AE47" i="3"/>
  <c r="T49" i="3"/>
  <c r="AE49" i="3"/>
  <c r="T35" i="3"/>
  <c r="AE35" i="3"/>
  <c r="T50" i="3"/>
  <c r="AE50" i="3"/>
  <c r="T51" i="3"/>
  <c r="AE51" i="3"/>
  <c r="T52" i="3"/>
  <c r="AE52" i="3"/>
  <c r="T53" i="3"/>
  <c r="AE53" i="3"/>
  <c r="T54" i="3"/>
  <c r="AE54" i="3"/>
  <c r="T82" i="3"/>
  <c r="AE82" i="3"/>
  <c r="T55" i="3"/>
  <c r="AE55" i="3"/>
  <c r="T56" i="3"/>
  <c r="AE56" i="3"/>
  <c r="T57" i="3"/>
  <c r="AE57" i="3"/>
  <c r="T58" i="3"/>
  <c r="AE58" i="3"/>
  <c r="T59" i="3"/>
  <c r="AE59" i="3"/>
  <c r="T60" i="3"/>
  <c r="AE60" i="3"/>
  <c r="T65" i="3"/>
  <c r="AE65" i="3"/>
  <c r="T75" i="3"/>
  <c r="AE75" i="3"/>
  <c r="T61" i="3"/>
  <c r="AE61" i="3"/>
  <c r="T62" i="3"/>
  <c r="AE62" i="3"/>
  <c r="T63" i="3"/>
  <c r="AE63" i="3"/>
  <c r="T64" i="3"/>
  <c r="AE64" i="3"/>
  <c r="T66" i="3"/>
  <c r="AE66" i="3"/>
  <c r="T67" i="3"/>
  <c r="AE67" i="3"/>
  <c r="T79" i="3"/>
  <c r="AE79" i="3"/>
  <c r="T68" i="3"/>
  <c r="AE68" i="3"/>
  <c r="T69" i="3"/>
  <c r="AE69" i="3"/>
  <c r="AE3" i="3"/>
  <c r="T3" i="3"/>
  <c r="S4" i="3"/>
  <c r="AD4" i="3"/>
  <c r="S5" i="3"/>
  <c r="AD5" i="3"/>
  <c r="S6" i="3"/>
  <c r="AD6" i="3"/>
  <c r="S70" i="3"/>
  <c r="AD70" i="3"/>
  <c r="S7" i="3"/>
  <c r="AD7" i="3"/>
  <c r="S8" i="3"/>
  <c r="AD8" i="3"/>
  <c r="S9" i="3"/>
  <c r="AD9" i="3"/>
  <c r="S77" i="3"/>
  <c r="AD77" i="3"/>
  <c r="S10" i="3"/>
  <c r="AD10" i="3"/>
  <c r="S11" i="3"/>
  <c r="AD11" i="3"/>
  <c r="S12" i="3"/>
  <c r="AD12" i="3"/>
  <c r="S76" i="3"/>
  <c r="AD76" i="3"/>
  <c r="S74" i="3"/>
  <c r="AD74" i="3"/>
  <c r="S71" i="3"/>
  <c r="AD71" i="3"/>
  <c r="S13" i="3"/>
  <c r="AD13" i="3"/>
  <c r="S14" i="3"/>
  <c r="AD14" i="3"/>
  <c r="S15" i="3"/>
  <c r="AD15" i="3"/>
  <c r="S16" i="3"/>
  <c r="AD16" i="3"/>
  <c r="S17" i="3"/>
  <c r="AD17" i="3"/>
  <c r="S18" i="3"/>
  <c r="F25" i="4" s="1"/>
  <c r="AD18" i="3"/>
  <c r="G25" i="4" s="1"/>
  <c r="S19" i="3"/>
  <c r="AD19" i="3"/>
  <c r="S20" i="3"/>
  <c r="AD20" i="3"/>
  <c r="S21" i="3"/>
  <c r="AD21" i="3"/>
  <c r="S22" i="3"/>
  <c r="AD22" i="3"/>
  <c r="S23" i="3"/>
  <c r="AD23" i="3"/>
  <c r="S83" i="3"/>
  <c r="AD83" i="3"/>
  <c r="S24" i="3"/>
  <c r="AD24" i="3"/>
  <c r="S25" i="3"/>
  <c r="AD25" i="3"/>
  <c r="S26" i="3"/>
  <c r="AD26" i="3"/>
  <c r="S27" i="3"/>
  <c r="AD27" i="3"/>
  <c r="S28" i="3"/>
  <c r="AD28" i="3"/>
  <c r="S29" i="3"/>
  <c r="AD29" i="3"/>
  <c r="S30" i="3"/>
  <c r="AD30" i="3"/>
  <c r="S31" i="3"/>
  <c r="AD31" i="3"/>
  <c r="S32" i="3"/>
  <c r="AD32" i="3"/>
  <c r="S33" i="3"/>
  <c r="AD33" i="3"/>
  <c r="S78" i="3"/>
  <c r="AD78" i="3"/>
  <c r="S34" i="3"/>
  <c r="AD34" i="3"/>
  <c r="S36" i="3"/>
  <c r="AD36" i="3"/>
  <c r="S37" i="3"/>
  <c r="AD37" i="3"/>
  <c r="S48" i="3"/>
  <c r="AD48" i="3"/>
  <c r="S80" i="3"/>
  <c r="AD80" i="3"/>
  <c r="S72" i="3"/>
  <c r="AD72" i="3"/>
  <c r="S38" i="3"/>
  <c r="AD38" i="3"/>
  <c r="S39" i="3"/>
  <c r="AD39" i="3"/>
  <c r="S40" i="3"/>
  <c r="AD40" i="3"/>
  <c r="S73" i="3"/>
  <c r="AD73" i="3"/>
  <c r="S41" i="3"/>
  <c r="AD41" i="3"/>
  <c r="S42" i="3"/>
  <c r="AD42" i="3"/>
  <c r="S81" i="3"/>
  <c r="AD81" i="3"/>
  <c r="S43" i="3"/>
  <c r="AD43" i="3"/>
  <c r="S44" i="3"/>
  <c r="AD44" i="3"/>
  <c r="S45" i="3"/>
  <c r="AD45" i="3"/>
  <c r="S46" i="3"/>
  <c r="AD46" i="3"/>
  <c r="S47" i="3"/>
  <c r="AD47" i="3"/>
  <c r="S49" i="3"/>
  <c r="AD49" i="3"/>
  <c r="S35" i="3"/>
  <c r="AD35" i="3"/>
  <c r="S50" i="3"/>
  <c r="AD50" i="3"/>
  <c r="S51" i="3"/>
  <c r="AD51" i="3"/>
  <c r="S52" i="3"/>
  <c r="AD52" i="3"/>
  <c r="S53" i="3"/>
  <c r="AD53" i="3"/>
  <c r="S54" i="3"/>
  <c r="AD54" i="3"/>
  <c r="S82" i="3"/>
  <c r="AD82" i="3"/>
  <c r="S55" i="3"/>
  <c r="AD55" i="3"/>
  <c r="S56" i="3"/>
  <c r="AD56" i="3"/>
  <c r="S57" i="3"/>
  <c r="AD57" i="3"/>
  <c r="S58" i="3"/>
  <c r="AD58" i="3"/>
  <c r="S59" i="3"/>
  <c r="AD59" i="3"/>
  <c r="S60" i="3"/>
  <c r="AD60" i="3"/>
  <c r="S65" i="3"/>
  <c r="AD65" i="3"/>
  <c r="S75" i="3"/>
  <c r="AD75" i="3"/>
  <c r="S61" i="3"/>
  <c r="AD61" i="3"/>
  <c r="S62" i="3"/>
  <c r="AD62" i="3"/>
  <c r="S63" i="3"/>
  <c r="AD63" i="3"/>
  <c r="S64" i="3"/>
  <c r="AD64" i="3"/>
  <c r="S66" i="3"/>
  <c r="AD66" i="3"/>
  <c r="S67" i="3"/>
  <c r="AD67" i="3"/>
  <c r="S79" i="3"/>
  <c r="AD79" i="3"/>
  <c r="S68" i="3"/>
  <c r="AD68" i="3"/>
  <c r="S69" i="3"/>
  <c r="AD69" i="3"/>
  <c r="AD3" i="3"/>
  <c r="S3" i="3"/>
  <c r="R4" i="3"/>
  <c r="AC4" i="3"/>
  <c r="R5" i="3"/>
  <c r="AC5" i="3"/>
  <c r="R6" i="3"/>
  <c r="AC6" i="3"/>
  <c r="R70" i="3"/>
  <c r="AC70" i="3"/>
  <c r="R7" i="3"/>
  <c r="AC7" i="3"/>
  <c r="R8" i="3"/>
  <c r="AC8" i="3"/>
  <c r="R9" i="3"/>
  <c r="AC9" i="3"/>
  <c r="R77" i="3"/>
  <c r="AC77" i="3"/>
  <c r="R10" i="3"/>
  <c r="AC10" i="3"/>
  <c r="R11" i="3"/>
  <c r="AC11" i="3"/>
  <c r="R12" i="3"/>
  <c r="AC12" i="3"/>
  <c r="R76" i="3"/>
  <c r="AC76" i="3"/>
  <c r="R74" i="3"/>
  <c r="AC74" i="3"/>
  <c r="R71" i="3"/>
  <c r="AC71" i="3"/>
  <c r="R13" i="3"/>
  <c r="AC13" i="3"/>
  <c r="R14" i="3"/>
  <c r="AC14" i="3"/>
  <c r="R15" i="3"/>
  <c r="AC15" i="3"/>
  <c r="R16" i="3"/>
  <c r="AC16" i="3"/>
  <c r="R17" i="3"/>
  <c r="AC17" i="3"/>
  <c r="R18" i="3"/>
  <c r="F24" i="4" s="1"/>
  <c r="AC18" i="3"/>
  <c r="G24" i="4" s="1"/>
  <c r="R19" i="3"/>
  <c r="AC19" i="3"/>
  <c r="R20" i="3"/>
  <c r="AC20" i="3"/>
  <c r="R21" i="3"/>
  <c r="AC21" i="3"/>
  <c r="R22" i="3"/>
  <c r="AC22" i="3"/>
  <c r="R23" i="3"/>
  <c r="AC23" i="3"/>
  <c r="R83" i="3"/>
  <c r="AC83" i="3"/>
  <c r="R24" i="3"/>
  <c r="AC24" i="3"/>
  <c r="R25" i="3"/>
  <c r="AC25" i="3"/>
  <c r="R26" i="3"/>
  <c r="AC26" i="3"/>
  <c r="R27" i="3"/>
  <c r="AC27" i="3"/>
  <c r="R28" i="3"/>
  <c r="AC28" i="3"/>
  <c r="R29" i="3"/>
  <c r="AC29" i="3"/>
  <c r="R30" i="3"/>
  <c r="AC30" i="3"/>
  <c r="R31" i="3"/>
  <c r="AC31" i="3"/>
  <c r="R32" i="3"/>
  <c r="AC32" i="3"/>
  <c r="R33" i="3"/>
  <c r="AC33" i="3"/>
  <c r="R78" i="3"/>
  <c r="AC78" i="3"/>
  <c r="R34" i="3"/>
  <c r="AC34" i="3"/>
  <c r="R36" i="3"/>
  <c r="AC36" i="3"/>
  <c r="R37" i="3"/>
  <c r="AC37" i="3"/>
  <c r="R48" i="3"/>
  <c r="AC48" i="3"/>
  <c r="R80" i="3"/>
  <c r="AC80" i="3"/>
  <c r="R72" i="3"/>
  <c r="AC72" i="3"/>
  <c r="R38" i="3"/>
  <c r="AC38" i="3"/>
  <c r="R39" i="3"/>
  <c r="AC39" i="3"/>
  <c r="R40" i="3"/>
  <c r="AC40" i="3"/>
  <c r="R73" i="3"/>
  <c r="AC73" i="3"/>
  <c r="R41" i="3"/>
  <c r="AC41" i="3"/>
  <c r="R42" i="3"/>
  <c r="AC42" i="3"/>
  <c r="R81" i="3"/>
  <c r="AC81" i="3"/>
  <c r="R43" i="3"/>
  <c r="AC43" i="3"/>
  <c r="R44" i="3"/>
  <c r="AC44" i="3"/>
  <c r="R45" i="3"/>
  <c r="AC45" i="3"/>
  <c r="R46" i="3"/>
  <c r="AC46" i="3"/>
  <c r="R47" i="3"/>
  <c r="AC47" i="3"/>
  <c r="R49" i="3"/>
  <c r="AC49" i="3"/>
  <c r="R35" i="3"/>
  <c r="AC35" i="3"/>
  <c r="R50" i="3"/>
  <c r="AC50" i="3"/>
  <c r="R51" i="3"/>
  <c r="AC51" i="3"/>
  <c r="R52" i="3"/>
  <c r="AC52" i="3"/>
  <c r="R53" i="3"/>
  <c r="AC53" i="3"/>
  <c r="R54" i="3"/>
  <c r="AC54" i="3"/>
  <c r="R82" i="3"/>
  <c r="AC82" i="3"/>
  <c r="R55" i="3"/>
  <c r="AC55" i="3"/>
  <c r="R56" i="3"/>
  <c r="AC56" i="3"/>
  <c r="R57" i="3"/>
  <c r="AC57" i="3"/>
  <c r="R58" i="3"/>
  <c r="AC58" i="3"/>
  <c r="R59" i="3"/>
  <c r="AC59" i="3"/>
  <c r="R60" i="3"/>
  <c r="AC60" i="3"/>
  <c r="R65" i="3"/>
  <c r="AC65" i="3"/>
  <c r="R75" i="3"/>
  <c r="AC75" i="3"/>
  <c r="R61" i="3"/>
  <c r="AC61" i="3"/>
  <c r="R62" i="3"/>
  <c r="AC62" i="3"/>
  <c r="R63" i="3"/>
  <c r="AC63" i="3"/>
  <c r="R64" i="3"/>
  <c r="AC64" i="3"/>
  <c r="R66" i="3"/>
  <c r="AC66" i="3"/>
  <c r="R67" i="3"/>
  <c r="AC67" i="3"/>
  <c r="R79" i="3"/>
  <c r="AC79" i="3"/>
  <c r="R68" i="3"/>
  <c r="AC68" i="3"/>
  <c r="R69" i="3"/>
  <c r="AC69" i="3"/>
  <c r="AC3" i="3"/>
  <c r="R3" i="3"/>
  <c r="Q4" i="3"/>
  <c r="Q5" i="3"/>
  <c r="Q6" i="3"/>
  <c r="Q70" i="3"/>
  <c r="Q7" i="3"/>
  <c r="Q8" i="3"/>
  <c r="Q9" i="3"/>
  <c r="Q77" i="3"/>
  <c r="Q10" i="3"/>
  <c r="Q11" i="3"/>
  <c r="Q12" i="3"/>
  <c r="Q76" i="3"/>
  <c r="Q74" i="3"/>
  <c r="Q71" i="3"/>
  <c r="Q13" i="3"/>
  <c r="Q14" i="3"/>
  <c r="Q15" i="3"/>
  <c r="Q16" i="3"/>
  <c r="Q17" i="3"/>
  <c r="Q18" i="3"/>
  <c r="F19" i="4" s="1"/>
  <c r="Q19" i="3"/>
  <c r="Q20" i="3"/>
  <c r="Q21" i="3"/>
  <c r="Q22" i="3"/>
  <c r="Q23" i="3"/>
  <c r="Q83" i="3"/>
  <c r="Q24" i="3"/>
  <c r="Q25" i="3"/>
  <c r="Q26" i="3"/>
  <c r="Q27" i="3"/>
  <c r="Q28" i="3"/>
  <c r="Q29" i="3"/>
  <c r="Q30" i="3"/>
  <c r="Q31" i="3"/>
  <c r="Q32" i="3"/>
  <c r="Q33" i="3"/>
  <c r="Q78" i="3"/>
  <c r="Q34" i="3"/>
  <c r="Q36" i="3"/>
  <c r="Q37" i="3"/>
  <c r="Q48" i="3"/>
  <c r="Q80" i="3"/>
  <c r="Q72" i="3"/>
  <c r="Q38" i="3"/>
  <c r="Q39" i="3"/>
  <c r="Q40" i="3"/>
  <c r="Q73" i="3"/>
  <c r="Q41" i="3"/>
  <c r="Q42" i="3"/>
  <c r="Q81" i="3"/>
  <c r="Q43" i="3"/>
  <c r="Q44" i="3"/>
  <c r="Q45" i="3"/>
  <c r="Q46" i="3"/>
  <c r="Q47" i="3"/>
  <c r="Q49" i="3"/>
  <c r="Q35" i="3"/>
  <c r="Q50" i="3"/>
  <c r="Q51" i="3"/>
  <c r="Q52" i="3"/>
  <c r="Q53" i="3"/>
  <c r="Q54" i="3"/>
  <c r="Q82" i="3"/>
  <c r="Q55" i="3"/>
  <c r="Q56" i="3"/>
  <c r="Q57" i="3"/>
  <c r="Q58" i="3"/>
  <c r="Q59" i="3"/>
  <c r="Q60" i="3"/>
  <c r="Q65" i="3"/>
  <c r="Q75" i="3"/>
  <c r="Q61" i="3"/>
  <c r="Q62" i="3"/>
  <c r="Q63" i="3"/>
  <c r="Q64" i="3"/>
  <c r="Q66" i="3"/>
  <c r="Q67" i="3"/>
  <c r="Q79" i="3"/>
  <c r="Q68" i="3"/>
  <c r="Q69" i="3"/>
  <c r="Q3" i="3"/>
  <c r="P4" i="3"/>
  <c r="P5" i="3"/>
  <c r="P6" i="3"/>
  <c r="P70" i="3"/>
  <c r="P7" i="3"/>
  <c r="P8" i="3"/>
  <c r="P9" i="3"/>
  <c r="P77" i="3"/>
  <c r="P10" i="3"/>
  <c r="P11" i="3"/>
  <c r="P12" i="3"/>
  <c r="P76" i="3"/>
  <c r="P74" i="3"/>
  <c r="P71" i="3"/>
  <c r="P13" i="3"/>
  <c r="P14" i="3"/>
  <c r="P15" i="3"/>
  <c r="P16" i="3"/>
  <c r="P17" i="3"/>
  <c r="P18" i="3"/>
  <c r="F18" i="4" s="1"/>
  <c r="P19" i="3"/>
  <c r="P20" i="3"/>
  <c r="P21" i="3"/>
  <c r="P22" i="3"/>
  <c r="P23" i="3"/>
  <c r="P83" i="3"/>
  <c r="P24" i="3"/>
  <c r="P25" i="3"/>
  <c r="P26" i="3"/>
  <c r="P27" i="3"/>
  <c r="P28" i="3"/>
  <c r="P29" i="3"/>
  <c r="P30" i="3"/>
  <c r="P31" i="3"/>
  <c r="P32" i="3"/>
  <c r="P33" i="3"/>
  <c r="P78" i="3"/>
  <c r="P34" i="3"/>
  <c r="P36" i="3"/>
  <c r="P37" i="3"/>
  <c r="P48" i="3"/>
  <c r="P80" i="3"/>
  <c r="P72" i="3"/>
  <c r="P38" i="3"/>
  <c r="P39" i="3"/>
  <c r="P40" i="3"/>
  <c r="P73" i="3"/>
  <c r="P41" i="3"/>
  <c r="P42" i="3"/>
  <c r="P81" i="3"/>
  <c r="P43" i="3"/>
  <c r="P44" i="3"/>
  <c r="P45" i="3"/>
  <c r="P46" i="3"/>
  <c r="P47" i="3"/>
  <c r="P49" i="3"/>
  <c r="P35" i="3"/>
  <c r="P50" i="3"/>
  <c r="P51" i="3"/>
  <c r="P52" i="3"/>
  <c r="P53" i="3"/>
  <c r="P54" i="3"/>
  <c r="P82" i="3"/>
  <c r="P55" i="3"/>
  <c r="P56" i="3"/>
  <c r="P57" i="3"/>
  <c r="P58" i="3"/>
  <c r="P59" i="3"/>
  <c r="P60" i="3"/>
  <c r="P65" i="3"/>
  <c r="P75" i="3"/>
  <c r="P61" i="3"/>
  <c r="P62" i="3"/>
  <c r="P63" i="3"/>
  <c r="P64" i="3"/>
  <c r="P66" i="3"/>
  <c r="P67" i="3"/>
  <c r="P79" i="3"/>
  <c r="P68" i="3"/>
  <c r="P69" i="3"/>
  <c r="P3" i="3"/>
  <c r="N4" i="3"/>
  <c r="N5" i="3"/>
  <c r="N6" i="3"/>
  <c r="N70" i="3"/>
  <c r="N7" i="3"/>
  <c r="N8" i="3"/>
  <c r="N9" i="3"/>
  <c r="N77" i="3"/>
  <c r="N10" i="3"/>
  <c r="N11" i="3"/>
  <c r="N12" i="3"/>
  <c r="N76" i="3"/>
  <c r="N74" i="3"/>
  <c r="N71" i="3"/>
  <c r="N13" i="3"/>
  <c r="N14" i="3"/>
  <c r="N15" i="3"/>
  <c r="N16" i="3"/>
  <c r="N17" i="3"/>
  <c r="N18" i="3"/>
  <c r="F16" i="4" s="1"/>
  <c r="N19" i="3"/>
  <c r="N20" i="3"/>
  <c r="N21" i="3"/>
  <c r="N22" i="3"/>
  <c r="N23" i="3"/>
  <c r="N83" i="3"/>
  <c r="N24" i="3"/>
  <c r="N25" i="3"/>
  <c r="N26" i="3"/>
  <c r="N27" i="3"/>
  <c r="N28" i="3"/>
  <c r="N29" i="3"/>
  <c r="N30" i="3"/>
  <c r="N31" i="3"/>
  <c r="N32" i="3"/>
  <c r="N33" i="3"/>
  <c r="N78" i="3"/>
  <c r="N34" i="3"/>
  <c r="N36" i="3"/>
  <c r="N37" i="3"/>
  <c r="N48" i="3"/>
  <c r="N80" i="3"/>
  <c r="N72" i="3"/>
  <c r="N38" i="3"/>
  <c r="N39" i="3"/>
  <c r="N40" i="3"/>
  <c r="N73" i="3"/>
  <c r="N41" i="3"/>
  <c r="N42" i="3"/>
  <c r="N81" i="3"/>
  <c r="N43" i="3"/>
  <c r="N44" i="3"/>
  <c r="N45" i="3"/>
  <c r="N46" i="3"/>
  <c r="N47" i="3"/>
  <c r="N49" i="3"/>
  <c r="N35" i="3"/>
  <c r="N50" i="3"/>
  <c r="N51" i="3"/>
  <c r="N52" i="3"/>
  <c r="N53" i="3"/>
  <c r="N54" i="3"/>
  <c r="N82" i="3"/>
  <c r="N55" i="3"/>
  <c r="N56" i="3"/>
  <c r="N57" i="3"/>
  <c r="N58" i="3"/>
  <c r="N59" i="3"/>
  <c r="N60" i="3"/>
  <c r="N65" i="3"/>
  <c r="N75" i="3"/>
  <c r="N61" i="3"/>
  <c r="N62" i="3"/>
  <c r="N63" i="3"/>
  <c r="N64" i="3"/>
  <c r="N66" i="3"/>
  <c r="N67" i="3"/>
  <c r="N79" i="3"/>
  <c r="N68" i="3"/>
  <c r="N69" i="3"/>
  <c r="N3" i="3"/>
  <c r="M4" i="3"/>
  <c r="M5" i="3"/>
  <c r="M6" i="3"/>
  <c r="M70" i="3"/>
  <c r="M7" i="3"/>
  <c r="M8" i="3"/>
  <c r="M9" i="3"/>
  <c r="M77" i="3"/>
  <c r="M10" i="3"/>
  <c r="M11" i="3"/>
  <c r="M12" i="3"/>
  <c r="M76" i="3"/>
  <c r="M74" i="3"/>
  <c r="M71" i="3"/>
  <c r="M13" i="3"/>
  <c r="M14" i="3"/>
  <c r="M15" i="3"/>
  <c r="M16" i="3"/>
  <c r="M17" i="3"/>
  <c r="M18" i="3"/>
  <c r="F15" i="4" s="1"/>
  <c r="M19" i="3"/>
  <c r="M20" i="3"/>
  <c r="M21" i="3"/>
  <c r="M22" i="3"/>
  <c r="M23" i="3"/>
  <c r="M83" i="3"/>
  <c r="M24" i="3"/>
  <c r="M25" i="3"/>
  <c r="M26" i="3"/>
  <c r="M27" i="3"/>
  <c r="M28" i="3"/>
  <c r="M29" i="3"/>
  <c r="M30" i="3"/>
  <c r="M31" i="3"/>
  <c r="M32" i="3"/>
  <c r="M33" i="3"/>
  <c r="M78" i="3"/>
  <c r="M34" i="3"/>
  <c r="M36" i="3"/>
  <c r="M37" i="3"/>
  <c r="M48" i="3"/>
  <c r="M80" i="3"/>
  <c r="M72" i="3"/>
  <c r="M38" i="3"/>
  <c r="M39" i="3"/>
  <c r="M40" i="3"/>
  <c r="M73" i="3"/>
  <c r="M41" i="3"/>
  <c r="M42" i="3"/>
  <c r="M81" i="3"/>
  <c r="M43" i="3"/>
  <c r="M44" i="3"/>
  <c r="M45" i="3"/>
  <c r="M46" i="3"/>
  <c r="M47" i="3"/>
  <c r="M49" i="3"/>
  <c r="M35" i="3"/>
  <c r="M50" i="3"/>
  <c r="M51" i="3"/>
  <c r="M52" i="3"/>
  <c r="M53" i="3"/>
  <c r="M54" i="3"/>
  <c r="M82" i="3"/>
  <c r="M55" i="3"/>
  <c r="M56" i="3"/>
  <c r="M57" i="3"/>
  <c r="M58" i="3"/>
  <c r="M59" i="3"/>
  <c r="M60" i="3"/>
  <c r="M65" i="3"/>
  <c r="M75" i="3"/>
  <c r="M61" i="3"/>
  <c r="M62" i="3"/>
  <c r="M63" i="3"/>
  <c r="M64" i="3"/>
  <c r="M66" i="3"/>
  <c r="M67" i="3"/>
  <c r="M79" i="3"/>
  <c r="M68" i="3"/>
  <c r="M69" i="3"/>
  <c r="M3" i="3"/>
  <c r="K4" i="3"/>
  <c r="K5" i="3"/>
  <c r="K6" i="3"/>
  <c r="K70" i="3"/>
  <c r="K7" i="3"/>
  <c r="K8" i="3"/>
  <c r="K9" i="3"/>
  <c r="K77" i="3"/>
  <c r="K10" i="3"/>
  <c r="K11" i="3"/>
  <c r="K12" i="3"/>
  <c r="K76" i="3"/>
  <c r="K74" i="3"/>
  <c r="K71" i="3"/>
  <c r="K13" i="3"/>
  <c r="K14" i="3"/>
  <c r="K15" i="3"/>
  <c r="K16" i="3"/>
  <c r="K17" i="3"/>
  <c r="K18" i="3"/>
  <c r="F13" i="4" s="1"/>
  <c r="K19" i="3"/>
  <c r="K20" i="3"/>
  <c r="K21" i="3"/>
  <c r="K22" i="3"/>
  <c r="K23" i="3"/>
  <c r="K83" i="3"/>
  <c r="K24" i="3"/>
  <c r="K25" i="3"/>
  <c r="K26" i="3"/>
  <c r="K27" i="3"/>
  <c r="K28" i="3"/>
  <c r="K29" i="3"/>
  <c r="K30" i="3"/>
  <c r="K31" i="3"/>
  <c r="K32" i="3"/>
  <c r="K33" i="3"/>
  <c r="K78" i="3"/>
  <c r="K34" i="3"/>
  <c r="K36" i="3"/>
  <c r="K37" i="3"/>
  <c r="K48" i="3"/>
  <c r="K80" i="3"/>
  <c r="K72" i="3"/>
  <c r="K38" i="3"/>
  <c r="K39" i="3"/>
  <c r="K40" i="3"/>
  <c r="K73" i="3"/>
  <c r="K41" i="3"/>
  <c r="K42" i="3"/>
  <c r="K81" i="3"/>
  <c r="K43" i="3"/>
  <c r="K44" i="3"/>
  <c r="K45" i="3"/>
  <c r="K46" i="3"/>
  <c r="K47" i="3"/>
  <c r="K49" i="3"/>
  <c r="K35" i="3"/>
  <c r="K50" i="3"/>
  <c r="K51" i="3"/>
  <c r="K52" i="3"/>
  <c r="K53" i="3"/>
  <c r="K54" i="3"/>
  <c r="K82" i="3"/>
  <c r="K55" i="3"/>
  <c r="K56" i="3"/>
  <c r="K57" i="3"/>
  <c r="K58" i="3"/>
  <c r="K59" i="3"/>
  <c r="K60" i="3"/>
  <c r="K65" i="3"/>
  <c r="K75" i="3"/>
  <c r="K61" i="3"/>
  <c r="K62" i="3"/>
  <c r="K63" i="3"/>
  <c r="K64" i="3"/>
  <c r="K66" i="3"/>
  <c r="K67" i="3"/>
  <c r="K79" i="3"/>
  <c r="K68" i="3"/>
  <c r="K69" i="3"/>
  <c r="K3" i="3"/>
  <c r="I4" i="3"/>
  <c r="I5" i="3"/>
  <c r="I6" i="3"/>
  <c r="I70" i="3"/>
  <c r="I7" i="3"/>
  <c r="I8" i="3"/>
  <c r="I9" i="3"/>
  <c r="I77" i="3"/>
  <c r="I10" i="3"/>
  <c r="I11" i="3"/>
  <c r="I12" i="3"/>
  <c r="I76" i="3"/>
  <c r="I74" i="3"/>
  <c r="I71" i="3"/>
  <c r="I13" i="3"/>
  <c r="I14" i="3"/>
  <c r="I15" i="3"/>
  <c r="I16" i="3"/>
  <c r="I17" i="3"/>
  <c r="I18" i="3"/>
  <c r="F11" i="4" s="1"/>
  <c r="I19" i="3"/>
  <c r="I20" i="3"/>
  <c r="I21" i="3"/>
  <c r="I22" i="3"/>
  <c r="I23" i="3"/>
  <c r="I83" i="3"/>
  <c r="I24" i="3"/>
  <c r="I25" i="3"/>
  <c r="I26" i="3"/>
  <c r="I27" i="3"/>
  <c r="I28" i="3"/>
  <c r="I29" i="3"/>
  <c r="I30" i="3"/>
  <c r="I31" i="3"/>
  <c r="I32" i="3"/>
  <c r="I33" i="3"/>
  <c r="I78" i="3"/>
  <c r="I34" i="3"/>
  <c r="I36" i="3"/>
  <c r="I37" i="3"/>
  <c r="I48" i="3"/>
  <c r="I80" i="3"/>
  <c r="I72" i="3"/>
  <c r="I38" i="3"/>
  <c r="I39" i="3"/>
  <c r="I40" i="3"/>
  <c r="I73" i="3"/>
  <c r="I41" i="3"/>
  <c r="I42" i="3"/>
  <c r="I81" i="3"/>
  <c r="I43" i="3"/>
  <c r="I44" i="3"/>
  <c r="I45" i="3"/>
  <c r="I46" i="3"/>
  <c r="I47" i="3"/>
  <c r="I49" i="3"/>
  <c r="I35" i="3"/>
  <c r="I50" i="3"/>
  <c r="I51" i="3"/>
  <c r="I52" i="3"/>
  <c r="I53" i="3"/>
  <c r="I54" i="3"/>
  <c r="I82" i="3"/>
  <c r="I55" i="3"/>
  <c r="I56" i="3"/>
  <c r="I57" i="3"/>
  <c r="I58" i="3"/>
  <c r="I59" i="3"/>
  <c r="I60" i="3"/>
  <c r="I65" i="3"/>
  <c r="I75" i="3"/>
  <c r="I61" i="3"/>
  <c r="I62" i="3"/>
  <c r="I63" i="3"/>
  <c r="I64" i="3"/>
  <c r="I66" i="3"/>
  <c r="I67" i="3"/>
  <c r="I79" i="3"/>
  <c r="I68" i="3"/>
  <c r="I69" i="3"/>
  <c r="I3" i="3"/>
  <c r="H4" i="3"/>
  <c r="H5" i="3"/>
  <c r="H6" i="3"/>
  <c r="H70" i="3"/>
  <c r="H7" i="3"/>
  <c r="H8" i="3"/>
  <c r="H9" i="3"/>
  <c r="H77" i="3"/>
  <c r="H10" i="3"/>
  <c r="H11" i="3"/>
  <c r="H12" i="3"/>
  <c r="H76" i="3"/>
  <c r="H74" i="3"/>
  <c r="H71" i="3"/>
  <c r="H13" i="3"/>
  <c r="H14" i="3"/>
  <c r="H15" i="3"/>
  <c r="H16" i="3"/>
  <c r="H17" i="3"/>
  <c r="H18" i="3"/>
  <c r="H19" i="3"/>
  <c r="H20" i="3"/>
  <c r="H21" i="3"/>
  <c r="H22" i="3"/>
  <c r="H23" i="3"/>
  <c r="H83" i="3"/>
  <c r="H24" i="3"/>
  <c r="H25" i="3"/>
  <c r="H26" i="3"/>
  <c r="H27" i="3"/>
  <c r="H28" i="3"/>
  <c r="H29" i="3"/>
  <c r="H30" i="3"/>
  <c r="H31" i="3"/>
  <c r="H32" i="3"/>
  <c r="H33" i="3"/>
  <c r="H78" i="3"/>
  <c r="H34" i="3"/>
  <c r="H36" i="3"/>
  <c r="H37" i="3"/>
  <c r="H48" i="3"/>
  <c r="H80" i="3"/>
  <c r="H72" i="3"/>
  <c r="H38" i="3"/>
  <c r="H39" i="3"/>
  <c r="H40" i="3"/>
  <c r="H73" i="3"/>
  <c r="H41" i="3"/>
  <c r="H42" i="3"/>
  <c r="H81" i="3"/>
  <c r="H43" i="3"/>
  <c r="H44" i="3"/>
  <c r="H45" i="3"/>
  <c r="H46" i="3"/>
  <c r="H47" i="3"/>
  <c r="H49" i="3"/>
  <c r="H35" i="3"/>
  <c r="H50" i="3"/>
  <c r="H51" i="3"/>
  <c r="H52" i="3"/>
  <c r="H53" i="3"/>
  <c r="H54" i="3"/>
  <c r="H82" i="3"/>
  <c r="H55" i="3"/>
  <c r="H56" i="3"/>
  <c r="H57" i="3"/>
  <c r="H58" i="3"/>
  <c r="H59" i="3"/>
  <c r="H60" i="3"/>
  <c r="H65" i="3"/>
  <c r="H75" i="3"/>
  <c r="H61" i="3"/>
  <c r="H62" i="3"/>
  <c r="H63" i="3"/>
  <c r="H64" i="3"/>
  <c r="H66" i="3"/>
  <c r="H67" i="3"/>
  <c r="H79" i="3"/>
  <c r="H68" i="3"/>
  <c r="H69" i="3"/>
  <c r="H3" i="3"/>
  <c r="F10" i="4" s="1"/>
  <c r="F5" i="3"/>
  <c r="F4" i="3"/>
  <c r="F6" i="3"/>
  <c r="F70" i="3"/>
  <c r="F7" i="3"/>
  <c r="F8" i="3"/>
  <c r="F9" i="3"/>
  <c r="F77" i="3"/>
  <c r="F10" i="3"/>
  <c r="F11" i="3"/>
  <c r="F12" i="3"/>
  <c r="F76" i="3"/>
  <c r="F74" i="3"/>
  <c r="F71" i="3"/>
  <c r="F13" i="3"/>
  <c r="F14" i="3"/>
  <c r="F15" i="3"/>
  <c r="F16" i="3"/>
  <c r="F17" i="3"/>
  <c r="F18" i="3"/>
  <c r="F8" i="4" s="1"/>
  <c r="F19" i="3"/>
  <c r="F20" i="3"/>
  <c r="F21" i="3"/>
  <c r="F22" i="3"/>
  <c r="F23" i="3"/>
  <c r="F83" i="3"/>
  <c r="F24" i="3"/>
  <c r="F25" i="3"/>
  <c r="F26" i="3"/>
  <c r="F27" i="3"/>
  <c r="F28" i="3"/>
  <c r="F29" i="3"/>
  <c r="F30" i="3"/>
  <c r="F31" i="3"/>
  <c r="F32" i="3"/>
  <c r="F33" i="3"/>
  <c r="F78" i="3"/>
  <c r="F34" i="3"/>
  <c r="F36" i="3"/>
  <c r="F37" i="3"/>
  <c r="F48" i="3"/>
  <c r="F80" i="3"/>
  <c r="F72" i="3"/>
  <c r="F38" i="3"/>
  <c r="F39" i="3"/>
  <c r="F40" i="3"/>
  <c r="F73" i="3"/>
  <c r="F41" i="3"/>
  <c r="F42" i="3"/>
  <c r="F81" i="3"/>
  <c r="F43" i="3"/>
  <c r="F44" i="3"/>
  <c r="F45" i="3"/>
  <c r="F46" i="3"/>
  <c r="F47" i="3"/>
  <c r="F49" i="3"/>
  <c r="F35" i="3"/>
  <c r="F50" i="3"/>
  <c r="F51" i="3"/>
  <c r="F52" i="3"/>
  <c r="F53" i="3"/>
  <c r="F54" i="3"/>
  <c r="F82" i="3"/>
  <c r="F55" i="3"/>
  <c r="F56" i="3"/>
  <c r="F57" i="3"/>
  <c r="F58" i="3"/>
  <c r="F59" i="3"/>
  <c r="F60" i="3"/>
  <c r="F65" i="3"/>
  <c r="F75" i="3"/>
  <c r="F61" i="3"/>
  <c r="F62" i="3"/>
  <c r="F63" i="3"/>
  <c r="F64" i="3"/>
  <c r="F66" i="3"/>
  <c r="F67" i="3"/>
  <c r="F79" i="3"/>
  <c r="F68" i="3"/>
  <c r="F69" i="3"/>
  <c r="J40" i="5"/>
  <c r="I40" i="5"/>
  <c r="H40" i="5"/>
  <c r="F40" i="5"/>
  <c r="J39" i="5"/>
  <c r="I39" i="5"/>
  <c r="H39" i="5"/>
  <c r="F39" i="5"/>
  <c r="J38" i="5"/>
  <c r="I38" i="5"/>
  <c r="H38" i="5"/>
  <c r="F38" i="5"/>
  <c r="J37" i="5"/>
  <c r="I37" i="5"/>
  <c r="H37" i="5"/>
  <c r="F37" i="5"/>
  <c r="J36" i="5"/>
  <c r="I36" i="5"/>
  <c r="H36" i="5"/>
  <c r="F36" i="5"/>
  <c r="J35" i="5"/>
  <c r="I35" i="5"/>
  <c r="H35" i="5"/>
  <c r="F35" i="5"/>
  <c r="J34" i="5"/>
  <c r="I34" i="5"/>
  <c r="H34" i="5"/>
  <c r="F34" i="5"/>
  <c r="J33" i="5"/>
  <c r="I33" i="5"/>
  <c r="H33" i="5"/>
  <c r="F33" i="5"/>
  <c r="J32" i="5"/>
  <c r="I32" i="5"/>
  <c r="H32" i="5"/>
  <c r="F32" i="5"/>
  <c r="J31" i="5"/>
  <c r="I31" i="5"/>
  <c r="H31" i="5"/>
  <c r="F31" i="5"/>
  <c r="J13" i="5"/>
  <c r="I13" i="5"/>
  <c r="H13" i="5"/>
  <c r="F13" i="5"/>
  <c r="J12" i="5"/>
  <c r="I12" i="5"/>
  <c r="H12" i="5"/>
  <c r="F12" i="5"/>
  <c r="J11" i="5"/>
  <c r="I11" i="5"/>
  <c r="H11" i="5"/>
  <c r="F11" i="5"/>
  <c r="J10" i="5"/>
  <c r="I10" i="5"/>
  <c r="H10" i="5"/>
  <c r="F10" i="5"/>
  <c r="J9" i="5"/>
  <c r="I9" i="5"/>
  <c r="H9" i="5"/>
  <c r="F9" i="5"/>
  <c r="J8" i="5"/>
  <c r="I8" i="5"/>
  <c r="H8" i="5"/>
  <c r="F8" i="5"/>
  <c r="J7" i="5"/>
  <c r="I7" i="5"/>
  <c r="H7" i="5"/>
  <c r="F7" i="5"/>
  <c r="J6" i="5"/>
  <c r="I6" i="5"/>
  <c r="H6" i="5"/>
  <c r="F6" i="5"/>
  <c r="E34" i="4"/>
  <c r="E33" i="4"/>
  <c r="E32" i="4"/>
  <c r="E31" i="4"/>
  <c r="E30" i="4"/>
  <c r="E29" i="4"/>
  <c r="E28" i="4"/>
  <c r="E26" i="4"/>
  <c r="E25" i="4"/>
  <c r="E24" i="4"/>
  <c r="E19" i="4"/>
  <c r="E18" i="4"/>
  <c r="E16" i="4"/>
  <c r="E15" i="4"/>
  <c r="E13" i="4"/>
  <c r="E11" i="4"/>
  <c r="E10" i="4"/>
  <c r="E8" i="4"/>
  <c r="L32" i="2" l="1"/>
  <c r="L33" i="2"/>
  <c r="L34" i="2"/>
  <c r="L35" i="2"/>
  <c r="L36" i="2"/>
  <c r="L37" i="2"/>
  <c r="L38" i="2"/>
  <c r="L39" i="2"/>
  <c r="L40" i="2"/>
  <c r="L31" i="2"/>
  <c r="K32" i="2"/>
  <c r="K33" i="2"/>
  <c r="K34" i="2"/>
  <c r="K35" i="2"/>
  <c r="K36" i="2"/>
  <c r="K37" i="2"/>
  <c r="K38" i="2"/>
  <c r="K39" i="2"/>
  <c r="K40" i="2"/>
  <c r="K31" i="2"/>
  <c r="I32" i="2"/>
  <c r="I33" i="2"/>
  <c r="I34" i="2"/>
  <c r="I35" i="2"/>
  <c r="I36" i="2"/>
  <c r="I37" i="2"/>
  <c r="I38" i="2"/>
  <c r="I39" i="2"/>
  <c r="I40" i="2"/>
  <c r="I31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L6" i="2"/>
  <c r="K6" i="2"/>
  <c r="I7" i="2"/>
  <c r="I8" i="2"/>
  <c r="I9" i="2"/>
  <c r="I10" i="2"/>
  <c r="I11" i="2"/>
  <c r="I12" i="2"/>
  <c r="I13" i="2"/>
  <c r="I6" i="2"/>
  <c r="H40" i="2"/>
  <c r="F40" i="2"/>
  <c r="H39" i="2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28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H4" i="2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7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AD6" i="37" l="1"/>
  <c r="AV6" i="37"/>
  <c r="AU6" i="37"/>
  <c r="AO6" i="37"/>
  <c r="AI6" i="37"/>
  <c r="AM6" i="37"/>
  <c r="AP6" i="37"/>
  <c r="AA6" i="37"/>
  <c r="AX6" i="37"/>
  <c r="P6" i="37"/>
  <c r="AE6" i="37" s="1"/>
  <c r="AR6" i="37"/>
  <c r="AS6" i="37"/>
  <c r="AJ6" i="37"/>
  <c r="AL6" i="37"/>
  <c r="AY6" i="37"/>
  <c r="W6" i="37"/>
  <c r="Z6" i="37"/>
  <c r="AC6" i="37"/>
  <c r="AF6" i="37"/>
  <c r="T6" i="37"/>
  <c r="X6" i="37"/>
  <c r="Y6" i="37" l="1"/>
  <c r="AK6" i="37"/>
  <c r="AG6" i="37"/>
  <c r="AH6" i="37" s="1"/>
  <c r="AT6" i="37"/>
  <c r="AZ6" i="37"/>
  <c r="R6" i="37"/>
  <c r="AW6" i="37"/>
  <c r="AQ6" i="37"/>
  <c r="AN6" i="37"/>
  <c r="AB6" i="37"/>
  <c r="S6" i="37" l="1"/>
  <c r="U6" i="37"/>
  <c r="V6" i="37" s="1"/>
  <c r="K6" i="37" l="1"/>
  <c r="O6" i="37" l="1"/>
  <c r="M6" i="37"/>
</calcChain>
</file>

<file path=xl/sharedStrings.xml><?xml version="1.0" encoding="utf-8"?>
<sst xmlns="http://schemas.openxmlformats.org/spreadsheetml/2006/main" count="2985" uniqueCount="322">
  <si>
    <r>
      <t xml:space="preserve">Kamu Hastane Birlikleri Sözleşme ve Ek Ödeme Ücretleri
</t>
    </r>
    <r>
      <rPr>
        <b/>
        <sz val="20"/>
        <color rgb="FFC00000"/>
        <rFont val="Calibri"/>
        <family val="2"/>
        <charset val="162"/>
        <scheme val="minor"/>
      </rPr>
      <t>- ÇALIŞMA ÖZETİ -</t>
    </r>
  </si>
  <si>
    <t>BİRLİKLER</t>
  </si>
  <si>
    <t>UNVAN</t>
  </si>
  <si>
    <t>KATSAYI</t>
  </si>
  <si>
    <t>Sözleşme Ücreti</t>
  </si>
  <si>
    <t>Net Ek Ödeme</t>
  </si>
  <si>
    <t>Kanuni Toplam Ele Geçen</t>
  </si>
  <si>
    <r>
      <t xml:space="preserve">En Yüksek 
(1,00)
</t>
    </r>
    <r>
      <rPr>
        <b/>
        <sz val="12"/>
        <color rgb="FFFF0000"/>
        <rFont val="Calibri"/>
        <family val="2"/>
        <charset val="162"/>
        <scheme val="minor"/>
      </rPr>
      <t>VAN</t>
    </r>
  </si>
  <si>
    <t>Kanuni Tavana Uzaklık</t>
  </si>
  <si>
    <r>
      <t xml:space="preserve">En Düşük 
(0,88)
</t>
    </r>
    <r>
      <rPr>
        <b/>
        <sz val="12"/>
        <color rgb="FFFF0000"/>
        <rFont val="Calibri"/>
        <family val="2"/>
        <charset val="162"/>
        <scheme val="minor"/>
      </rPr>
      <t>YALOVA</t>
    </r>
  </si>
  <si>
    <t>Yeni Durum Ortalama 
(0,941)</t>
  </si>
  <si>
    <t>GENEL SEKRETER</t>
  </si>
  <si>
    <t>Prof., Doçent, Klinik Şefi</t>
  </si>
  <si>
    <t>Uzman Hekim, Hekim*</t>
  </si>
  <si>
    <t>Diğer</t>
  </si>
  <si>
    <t>BAŞKAN</t>
  </si>
  <si>
    <t>UZMAN</t>
  </si>
  <si>
    <t>BÜRO GÖREVLİSİ</t>
  </si>
  <si>
    <t>Etkili Olan Paramerterler</t>
  </si>
  <si>
    <t>A = Tavan ek ödeme çarpanı: Müdür, Müdür Yardımcısı, uzman ve büro görevlisi için 0,60 diğerleri için ise 0,75 alındı.</t>
  </si>
  <si>
    <t xml:space="preserve">B = Sosyo Ekonomik Gelişmişlik Katsayısı: Birlikte bulunan ilçeler için 0,85 ila 1,00 arasında belirlenen katsayıların ortalaması. </t>
  </si>
  <si>
    <t>C = Birlik Katsayısı: Birlikler için nüfus ve hastane özelliği kriterleri dikkate alınarak belirlenen 0,80 ila 1,00 arasında değişen katsayı</t>
  </si>
  <si>
    <t>Ele Geçen Tutar = Sözleşme Ücreti +  Kanuni Tavan Ek Ödeme Tutarı x [A x (B+C)/2]</t>
  </si>
  <si>
    <r>
      <t xml:space="preserve">En Yüksek 
</t>
    </r>
    <r>
      <rPr>
        <b/>
        <sz val="12"/>
        <color rgb="FFFF0000"/>
        <rFont val="Calibri"/>
        <family val="2"/>
        <charset val="162"/>
        <scheme val="minor"/>
      </rPr>
      <t>Şanlıurfa EAH</t>
    </r>
    <r>
      <rPr>
        <sz val="12"/>
        <rFont val="Calibri"/>
        <family val="2"/>
        <charset val="162"/>
        <scheme val="minor"/>
      </rPr>
      <t xml:space="preserve">
(0,981)</t>
    </r>
  </si>
  <si>
    <r>
      <t xml:space="preserve">En Düşük
</t>
    </r>
    <r>
      <rPr>
        <b/>
        <sz val="12"/>
        <color rgb="FFFF0000"/>
        <rFont val="Calibri"/>
        <family val="2"/>
        <charset val="162"/>
        <scheme val="minor"/>
      </rPr>
      <t xml:space="preserve">İstanbul Maltepe DH </t>
    </r>
    <r>
      <rPr>
        <sz val="12"/>
        <rFont val="Calibri"/>
        <family val="2"/>
        <charset val="162"/>
        <scheme val="minor"/>
      </rPr>
      <t xml:space="preserve">
(0,857)</t>
    </r>
  </si>
  <si>
    <t>Yeni Durum Ortalama
(0,937)</t>
  </si>
  <si>
    <t>Mevcut 
Durum (Ortalama)</t>
  </si>
  <si>
    <t>HASTANELER</t>
  </si>
  <si>
    <t>HASTANE YÖNETİCİSİ</t>
  </si>
  <si>
    <t>BAŞHEKİM</t>
  </si>
  <si>
    <t>Pratisyen Hekim</t>
  </si>
  <si>
    <t>BAŞHEKİM YARDIMCISI</t>
  </si>
  <si>
    <t>Uzman Hekim</t>
  </si>
  <si>
    <t xml:space="preserve">MÜDÜR   </t>
  </si>
  <si>
    <t>MÜDÜR YARDIMCISI</t>
  </si>
  <si>
    <t>B = Sosyo Ekonomik Gelişmişlik Katsayısı: Hastanenin bulunduğu ilçe için belirlenen 0,85 ila 1,00 arasındaki katsayı (mahrumiyet arttıkça katsayı artar)</t>
  </si>
  <si>
    <t>C = Sağlık Tesisi Katsayısı: 25 hizmet sınıfına göre hastane için belirlenen 0,80 ila 1,00 arasındaki katsayı (hizmet sınıfı arttıkça katsayı artar)</t>
  </si>
  <si>
    <t>Katsayı</t>
  </si>
  <si>
    <t>=</t>
  </si>
  <si>
    <t>İller</t>
  </si>
  <si>
    <t>DİYARBAKIR</t>
  </si>
  <si>
    <t>ŞANLIURFA</t>
  </si>
  <si>
    <t>VAN</t>
  </si>
  <si>
    <t>ERZURUM</t>
  </si>
  <si>
    <t>HATAY</t>
  </si>
  <si>
    <t>KONYA</t>
  </si>
  <si>
    <t>MERSİN</t>
  </si>
  <si>
    <t>SAMSUN</t>
  </si>
  <si>
    <t>ADANA</t>
  </si>
  <si>
    <t>ANKARA</t>
  </si>
  <si>
    <t>ANTALYA</t>
  </si>
  <si>
    <t>BURSA</t>
  </si>
  <si>
    <t>GAZİANTEP</t>
  </si>
  <si>
    <t>İZMİR</t>
  </si>
  <si>
    <t>KAYSERİ</t>
  </si>
  <si>
    <t>KOCAELİ</t>
  </si>
  <si>
    <t>MANİSA</t>
  </si>
  <si>
    <t>TRABZON</t>
  </si>
  <si>
    <t>BALIKESİR</t>
  </si>
  <si>
    <t>MUĞLA</t>
  </si>
  <si>
    <t>İSTANBUL</t>
  </si>
  <si>
    <t>KAHRAMANMARAŞ</t>
  </si>
  <si>
    <t>SAKARYA</t>
  </si>
  <si>
    <t>ESKİŞEHİR</t>
  </si>
  <si>
    <t>AYDIN</t>
  </si>
  <si>
    <t>DENİZLİ</t>
  </si>
  <si>
    <t>TEKİRDAĞ</t>
  </si>
  <si>
    <t>TOKAT</t>
  </si>
  <si>
    <t>ADIYAMAN</t>
  </si>
  <si>
    <t>AĞRI</t>
  </si>
  <si>
    <t>BATMAN</t>
  </si>
  <si>
    <t>ÇORUM</t>
  </si>
  <si>
    <t>MALATYA</t>
  </si>
  <si>
    <t>MARDİN</t>
  </si>
  <si>
    <t>ORDU</t>
  </si>
  <si>
    <t>AFYONKARAHİSAR</t>
  </si>
  <si>
    <t>KÜTAHYA</t>
  </si>
  <si>
    <t>SİVAS</t>
  </si>
  <si>
    <t>ELAZIĞ</t>
  </si>
  <si>
    <t>ZONGULDAK</t>
  </si>
  <si>
    <t>MUŞ</t>
  </si>
  <si>
    <t>AMASYA</t>
  </si>
  <si>
    <t>BİNGÖL</t>
  </si>
  <si>
    <t>KARS</t>
  </si>
  <si>
    <t>OSMANİYE</t>
  </si>
  <si>
    <t>YOZGAT</t>
  </si>
  <si>
    <t>DÜZCE</t>
  </si>
  <si>
    <t>ISPARTA</t>
  </si>
  <si>
    <t>KIRIKKALE</t>
  </si>
  <si>
    <t>KIRŞEHİR</t>
  </si>
  <si>
    <t>NEVŞEHİR</t>
  </si>
  <si>
    <t>NİĞDE</t>
  </si>
  <si>
    <t>SİİRT</t>
  </si>
  <si>
    <t>UŞAK</t>
  </si>
  <si>
    <t>AKSARAY</t>
  </si>
  <si>
    <t>ÇANAKKALE</t>
  </si>
  <si>
    <t>EDİRNE</t>
  </si>
  <si>
    <t>GİRESUN</t>
  </si>
  <si>
    <t>KASTAMONU</t>
  </si>
  <si>
    <t>RİZE</t>
  </si>
  <si>
    <t>HAKKARİ</t>
  </si>
  <si>
    <t>ERZİNCAN</t>
  </si>
  <si>
    <t>BOLU</t>
  </si>
  <si>
    <t>BİTLİS</t>
  </si>
  <si>
    <t>KARAMAN</t>
  </si>
  <si>
    <t>ŞIRNAK</t>
  </si>
  <si>
    <t>BURDUR</t>
  </si>
  <si>
    <t>KARABÜK</t>
  </si>
  <si>
    <t>BARTIN</t>
  </si>
  <si>
    <t>BAYBURT</t>
  </si>
  <si>
    <t>KIRKLARELİ</t>
  </si>
  <si>
    <t>IĞDIR</t>
  </si>
  <si>
    <t>KİLİS</t>
  </si>
  <si>
    <t>ARDAHAN</t>
  </si>
  <si>
    <t>GÜMÜŞHANE</t>
  </si>
  <si>
    <t>ARTVİN</t>
  </si>
  <si>
    <t>SİNOP</t>
  </si>
  <si>
    <t>TUNCELİ</t>
  </si>
  <si>
    <t>BİLECİK</t>
  </si>
  <si>
    <t>ÇANKIRI</t>
  </si>
  <si>
    <t>YALOVA</t>
  </si>
  <si>
    <t>Birlik Katsayısı-Ort</t>
  </si>
  <si>
    <t>En Büyük Sağlık Tesisi Katsayısı</t>
  </si>
  <si>
    <t>En Küçük Sağlık Tesisi Katsayısı</t>
  </si>
  <si>
    <t>GS Uzman</t>
  </si>
  <si>
    <t>Başkan Uzman</t>
  </si>
  <si>
    <t>HY Akademisyen EN BÜYÜK</t>
  </si>
  <si>
    <t>HY Akademisyen EN KÜÇÜK</t>
  </si>
  <si>
    <t>HY Uzman (EN BÜYÜK)</t>
  </si>
  <si>
    <t>HY Uzman (EN KÜÇÜK)</t>
  </si>
  <si>
    <t>Başhekim Akademisyen (EN BÜYÜK)</t>
  </si>
  <si>
    <t>Başhekim Akademisyen (EN KÜÇÜK)</t>
  </si>
  <si>
    <t>Başhekim Uzman (EN BÜYÜK)</t>
  </si>
  <si>
    <t>Başhekim Uzman (EN KÜÇÜK)</t>
  </si>
  <si>
    <t>Başhekim Pratisten (EN BÜYÜK)</t>
  </si>
  <si>
    <t>Başhekim Pratisten (EN KÜÇÜK)</t>
  </si>
  <si>
    <t>Başhekim Yard. Uzman (EN BÜYÜK)</t>
  </si>
  <si>
    <t>Başhekim Yard. Uzman (EN KÜÇÜK)</t>
  </si>
  <si>
    <t>Başhekim Yard. Pratisten (EN BÜYÜK)</t>
  </si>
  <si>
    <t>Müdür EN BÜYÜK</t>
  </si>
  <si>
    <t>Müdür EN KÜÇÜK</t>
  </si>
  <si>
    <t>Müdür Yardımcısı EN BÜYÜK</t>
  </si>
  <si>
    <t>Müdür Yardımcısı EN KÜÇÜK</t>
  </si>
  <si>
    <r>
      <t xml:space="preserve">En Yüksek 
</t>
    </r>
    <r>
      <rPr>
        <b/>
        <sz val="12"/>
        <color rgb="FFFF0000"/>
        <rFont val="Calibri"/>
        <family val="2"/>
        <charset val="162"/>
        <scheme val="minor"/>
      </rPr>
      <t/>
    </r>
  </si>
  <si>
    <t>A = Tavan ek ödeme çarpanı: Uzman ve büro görevlisi için 0,60 diğerleri için ise 0,75 alındı.</t>
  </si>
  <si>
    <t>A = Tavan ek ödeme çarpanı: Müdür, Müdür Yardımcısı için 0,65 diğerleri için ise 0,75 alındı.</t>
  </si>
  <si>
    <t>İl ADI:</t>
  </si>
  <si>
    <t>İl Kodu</t>
  </si>
  <si>
    <t>Mevcut Durum (Ortalama)</t>
  </si>
  <si>
    <t>En Düşük</t>
  </si>
  <si>
    <t>Birlikler İçin;</t>
  </si>
  <si>
    <t>Sağlık Tesisleri İçin;</t>
  </si>
  <si>
    <t>Etkili Olan Paramerterler:</t>
  </si>
  <si>
    <t>Kamu Hastane Birlikleri Sözleşme ve Ek Ödeme Ücretleri</t>
  </si>
  <si>
    <t>Planlanan Ortalama Net Ele Geçen</t>
  </si>
  <si>
    <t>Yeni Durum Ortalama
(0,94)</t>
  </si>
  <si>
    <r>
      <t xml:space="preserve">En Düşük
</t>
    </r>
    <r>
      <rPr>
        <b/>
        <sz val="12"/>
        <color rgb="FFFF0000"/>
        <rFont val="Calibri"/>
        <family val="2"/>
        <charset val="162"/>
        <scheme val="minor"/>
      </rPr>
      <t/>
    </r>
  </si>
  <si>
    <t xml:space="preserve">En Yüksek </t>
  </si>
  <si>
    <t xml:space="preserve">En Düşük </t>
  </si>
  <si>
    <t xml:space="preserve">Yeni Durum Ortalama </t>
  </si>
  <si>
    <t>Prof., Doçent, Klinik Şefi (Tabip Personel)</t>
  </si>
  <si>
    <t>Diğer (Tabip Personel)</t>
  </si>
  <si>
    <t>Prof., Doçent (Tabip Olmayan Personel)</t>
  </si>
  <si>
    <t>Diğer (Tabip Olmayan Personel)</t>
  </si>
  <si>
    <t>A = Ek ödeme çarpanı: Müdür, Müdür Yardımcısı için 0,60; diğerleri için ise 0,75 alındı.</t>
  </si>
  <si>
    <t>İl Adı</t>
  </si>
  <si>
    <t>A 
İl Ortalama Sosyo Gelişmişlik Katsayısı</t>
  </si>
  <si>
    <t>B 
Birlik Rol Katsayısı**</t>
  </si>
  <si>
    <t>C = (A+B)/2 
Birlik Ek Ödeme Katsayısı***</t>
  </si>
  <si>
    <t>İL</t>
  </si>
  <si>
    <t>A = Ek ödeme çarpanı: Uzman ve Büro Görevlisi için 0,60; tabip olmayan Genel Sekreter ve Başkan için 0,50; diğerleri için ise 0,75 alındı.</t>
  </si>
  <si>
    <t xml:space="preserve"> BÜRO GÖREVLİSİ</t>
  </si>
  <si>
    <t xml:space="preserve"> UZMAN</t>
  </si>
  <si>
    <t xml:space="preserve"> MÜDÜR   </t>
  </si>
  <si>
    <t xml:space="preserve"> MÜDÜR YARDIMCISI</t>
  </si>
  <si>
    <t>Kanuni Toplam                 Ele Geçen</t>
  </si>
  <si>
    <t>Kanuni Toplam                              Ele Geçen</t>
  </si>
  <si>
    <t>Yeni Durum                     (Ortalama)
(0,94)</t>
  </si>
  <si>
    <t xml:space="preserve">Yeni Durum                        (Ortalama) </t>
  </si>
  <si>
    <t>A = Ek ödeme çarpanı: Hastane Yöneticisi (tabip olmayan) için 0,25, Müdür, Müdür Yardımcısı için 0,65, diğerleri için ise 0,75 alındı.</t>
  </si>
  <si>
    <t>SAĞLIK TESİSLERİ</t>
  </si>
  <si>
    <r>
      <t>En Düşük</t>
    </r>
    <r>
      <rPr>
        <b/>
        <sz val="12"/>
        <color rgb="FFFF0000"/>
        <rFont val="Calibri"/>
        <family val="2"/>
        <charset val="162"/>
        <scheme val="minor"/>
      </rPr>
      <t/>
    </r>
  </si>
  <si>
    <r>
      <t>En Yüksek</t>
    </r>
    <r>
      <rPr>
        <b/>
        <sz val="12"/>
        <color rgb="FFFF0000"/>
        <rFont val="Calibri"/>
        <family val="2"/>
        <charset val="162"/>
        <scheme val="minor"/>
      </rPr>
      <t/>
    </r>
  </si>
  <si>
    <t>A = Ek ödeme çarpanı: Tabip olmayan Genel Sekreter ve Tabip olmayan Başkan (Prof., Doçent) için 0,25; Tabip olmayan Başkan (Diğer) için 0,30; Uzman, Büro Görevlisi  için 0,60, diğerleri için ise 0,75 alındı.</t>
  </si>
  <si>
    <t>GS Uzman Akademisyen</t>
  </si>
  <si>
    <t>GS Tabip Dışı Akademisyen</t>
  </si>
  <si>
    <t>GS Diğer - Tabip</t>
  </si>
  <si>
    <t>GS Diğer - Tabip Dışı</t>
  </si>
  <si>
    <t>Başkan Akademisyen Uzman Tabip</t>
  </si>
  <si>
    <t>Başkan Akademisyen Tabip Dışı</t>
  </si>
  <si>
    <t>Başkan Diğer - Tabip</t>
  </si>
  <si>
    <t>Başkan Diğer - Tabip Dışı</t>
  </si>
  <si>
    <t>HY Diğer - Tabip (EN BÜYÜK)</t>
  </si>
  <si>
    <t>HY Diğer - Tabip Dışı (EN BÜYÜK)</t>
  </si>
  <si>
    <t>HY Diğer - Tabip (EN KÜÇÜK)</t>
  </si>
  <si>
    <t>HY Diğer - Tabip Dışı (EN küçük)</t>
  </si>
  <si>
    <r>
      <t xml:space="preserve">Kamu Hastane Birlikleri Sözleşme ve Ek Ödeme Ücretleri
</t>
    </r>
    <r>
      <rPr>
        <b/>
        <sz val="36"/>
        <color rgb="FFC00000"/>
        <rFont val="Calibri"/>
        <family val="2"/>
        <charset val="162"/>
        <scheme val="minor"/>
      </rPr>
      <t>- ÇALIŞMA ÖZETİ -</t>
    </r>
  </si>
  <si>
    <t>Uzman (Eczacı, Avukat)</t>
  </si>
  <si>
    <t>Uzman (Diğer)</t>
  </si>
  <si>
    <t>Lisansüstü eğitim yapmış sağlık bilimleri lisansiyerleri</t>
  </si>
  <si>
    <t>Hekim, Diş Hekimi</t>
  </si>
  <si>
    <t>A = Ek ödeme çarpanı: Hastane yöneticisi (Akademisyen) ve başhekim (akademisyen) için 0,80; Hastane Yöneticisi (tabip olmayan akademisyen) için 0,30; Hastane Yöneticisi (tabip olmayan) için 0,35;</t>
  </si>
  <si>
    <t xml:space="preserve">      Müdür, Müdür Yardımcısı ve Lisansüstü eğitim yapmış sağlık bilimleri lisansiyerleri  için 0,70, diğerleri için ise 0,75 alındı.</t>
  </si>
  <si>
    <t xml:space="preserve">       Başkan (Prof., Doçent) için 0,30; Tabip olmayan Başkan (Diğer) için 0,40; Uzman (hekim, diş hekimi) için 0,90; Uzman (Eczacı, Avukat) için 0,85;Uzman (Diğer) ve Büro Görevlisi  için 0,65, diğerleri için ise 0,75 alındı.</t>
  </si>
  <si>
    <t>A = Ek ödeme çarpanı: Genel sekreter Profesör, Doçent, Eğitim Görevlisi (tabip) için 0,80; Genel Sekreter Profesör, Doçent (tabip olmayan) için 0,25;Tabip olmayan Genel Sekreter için 0,35; Tabip olmayan</t>
  </si>
  <si>
    <t>Maliye Bakanlığı önerisi</t>
  </si>
  <si>
    <t>Sağlık Bakanlığı Önerisi</t>
  </si>
  <si>
    <t>Maliye Bakanlığı Önerisi</t>
  </si>
  <si>
    <t>Sağlık Bakanlığı önerisi</t>
  </si>
  <si>
    <t>Yeni Durum      (En Yüksek)</t>
  </si>
  <si>
    <t>Yeni Durum        (En Düşük)</t>
  </si>
  <si>
    <t xml:space="preserve"> Profesör, Doçent, Eğitim Görevlisi (Diş hekimi)</t>
  </si>
  <si>
    <t xml:space="preserve"> Profesör, Doçent, Eğitim Görevlisi (Tabip)</t>
  </si>
  <si>
    <t>Profesör, Doçent (Tabip olmayan)</t>
  </si>
  <si>
    <t>Profesör, Doçent, Eğitim Görevlisi (Diş hekimi)</t>
  </si>
  <si>
    <t>Profesör, Doçent, Eğitim Görevlisi (Tabip)</t>
  </si>
  <si>
    <t>Diğer (Tabip olmayan)</t>
  </si>
  <si>
    <t>Diğer  (Tabip, diş hekimi)</t>
  </si>
  <si>
    <t>Diğer (Tabip, diş hekimi)</t>
  </si>
  <si>
    <t>Uzman (Hekim, diş Hekimi)</t>
  </si>
  <si>
    <t>Profesör, Doçent, (Tabip olmayan)</t>
  </si>
  <si>
    <t>Profesör, Doçent ve Eğitim Görevlisi (Hekim)</t>
  </si>
  <si>
    <t>Profesör, Doçent ve Eğitim Görevlisi (Diş hekimi)</t>
  </si>
  <si>
    <t>Uzman Diş Hekimi, Diş Hekimi*</t>
  </si>
  <si>
    <t>Diğer (Tabip olmayan personel)</t>
  </si>
  <si>
    <t>Uzman Diş Hekimi</t>
  </si>
  <si>
    <t>Hekim</t>
  </si>
  <si>
    <t>Diş Hekimi</t>
  </si>
  <si>
    <t>Eczacı</t>
  </si>
  <si>
    <t>BRÜT Sözleşme Ücreti</t>
  </si>
  <si>
    <t>BRÜT Net Ek Ödeme</t>
  </si>
  <si>
    <t>Kanuni Toplam                 BRÜT</t>
  </si>
  <si>
    <t>Maliye Bakanlığı kabul edilen</t>
  </si>
  <si>
    <t xml:space="preserve"> Hekim*</t>
  </si>
  <si>
    <t>Diğer  (Tabip)</t>
  </si>
  <si>
    <t>Diğer  (Diş hekimi)</t>
  </si>
  <si>
    <t>Diğer  (Uzman Diş hekimi)</t>
  </si>
  <si>
    <t>Hekim*</t>
  </si>
  <si>
    <t>Diğer (Tabip)</t>
  </si>
  <si>
    <t>Diğer (diş hekimi)</t>
  </si>
  <si>
    <t>Diğer (Uzman diş hekimi)</t>
  </si>
  <si>
    <t>Uzman (Eczacı, Hukukçu,Finans Uzmanı,Sağlık istatistikleri uzmanı, bilgi sistemleri uzmanı)</t>
  </si>
  <si>
    <t>Diğer  (Uzman diş hekimi)</t>
  </si>
  <si>
    <t xml:space="preserve"> Diş Hekimi*</t>
  </si>
  <si>
    <t>Emekli Keseneği</t>
  </si>
  <si>
    <t>Damga Vergisi</t>
  </si>
  <si>
    <t>Gelir Vergisi</t>
  </si>
  <si>
    <t>Net Ele Geçen</t>
  </si>
  <si>
    <t>Ocak</t>
  </si>
  <si>
    <t>Vergi Matrahı</t>
  </si>
  <si>
    <t>Şubat</t>
  </si>
  <si>
    <t>Gelir Vergisi - 1</t>
  </si>
  <si>
    <t>Gelir Vergisi - 2</t>
  </si>
  <si>
    <t>BRÜT Ek Ödeme</t>
  </si>
  <si>
    <t>Mart</t>
  </si>
  <si>
    <t>1 - Vergi</t>
  </si>
  <si>
    <t>2 - Vergi</t>
  </si>
  <si>
    <t>3 - Vergi</t>
  </si>
  <si>
    <t>4 - Vergi</t>
  </si>
  <si>
    <t>5 - Vergi</t>
  </si>
  <si>
    <t>6 - Vergi</t>
  </si>
  <si>
    <t>7 - Vergi</t>
  </si>
  <si>
    <t>8 - Vergi</t>
  </si>
  <si>
    <t>9 - Vergi</t>
  </si>
  <si>
    <t>10 - Vergi</t>
  </si>
  <si>
    <t>11 - Vergi</t>
  </si>
  <si>
    <t>12 - Vergi</t>
  </si>
  <si>
    <t>1 - Net</t>
  </si>
  <si>
    <t>2 - Net</t>
  </si>
  <si>
    <t>12 - Net</t>
  </si>
  <si>
    <t>11 - Net</t>
  </si>
  <si>
    <t>10 - Net</t>
  </si>
  <si>
    <t>9 - Net</t>
  </si>
  <si>
    <t>8 - Net</t>
  </si>
  <si>
    <t>7 - Net</t>
  </si>
  <si>
    <t>6 - Net</t>
  </si>
  <si>
    <t>5 - Net</t>
  </si>
  <si>
    <t>4 - Net</t>
  </si>
  <si>
    <t>3 - Net</t>
  </si>
  <si>
    <t>Sağlık Bakanlığı son önerisi</t>
  </si>
  <si>
    <t>Yıllık Ortalama</t>
  </si>
  <si>
    <t>Uzman (Diş Hekimi)</t>
  </si>
  <si>
    <t>Uzman (Hekim)</t>
  </si>
  <si>
    <t>1 Katsayılı Yıl Ortalaması (En Yüksek)</t>
  </si>
  <si>
    <t>Ocak Ayı Net</t>
  </si>
  <si>
    <t>Aralık Ayı Net</t>
  </si>
  <si>
    <t>Merkez Teşkilatı - 0,98'e Göre</t>
  </si>
  <si>
    <t>Planlanan Yıllık Ortalama</t>
  </si>
  <si>
    <t>Fark</t>
  </si>
  <si>
    <t>Uzlaşılan Ortalamalar</t>
  </si>
  <si>
    <t>Merkez Yıllık Ortalama</t>
  </si>
  <si>
    <t>Taşra Yıllık Ortalama</t>
  </si>
  <si>
    <t>Uzman (Eczacı, Hukukçu,Programcı ve Çözümleyici)</t>
  </si>
  <si>
    <t>Taşra Yıllık Ortalama (Net)</t>
  </si>
  <si>
    <t>Merkez Yıllık Ortalama (Net)</t>
  </si>
  <si>
    <r>
      <t xml:space="preserve">Taşra Yıllık Ortalama        </t>
    </r>
    <r>
      <rPr>
        <b/>
        <sz val="18"/>
        <color theme="0"/>
        <rFont val="Calibri"/>
        <family val="2"/>
        <charset val="162"/>
        <scheme val="minor"/>
      </rPr>
      <t>(En Yüksek Net)</t>
    </r>
  </si>
  <si>
    <r>
      <t xml:space="preserve">Taşra Yıllık Ortalama        </t>
    </r>
    <r>
      <rPr>
        <b/>
        <sz val="18"/>
        <color theme="0"/>
        <rFont val="Calibri"/>
        <family val="2"/>
        <charset val="162"/>
        <scheme val="minor"/>
      </rPr>
      <t>(En Düşük Net)</t>
    </r>
  </si>
  <si>
    <t>Tavan Ek Ödeme Katsayısı</t>
  </si>
  <si>
    <t>Ek Ödeme Katsayısı</t>
  </si>
  <si>
    <t>BİRLİK PERSONELİ İÇİN SÖZLEŞME ÜCRETLERİ</t>
  </si>
  <si>
    <r>
      <t xml:space="preserve">Taşra Yıllık Ortalama       </t>
    </r>
    <r>
      <rPr>
        <b/>
        <sz val="18"/>
        <color theme="0"/>
        <rFont val="Calibri"/>
        <family val="2"/>
        <charset val="162"/>
        <scheme val="minor"/>
      </rPr>
      <t xml:space="preserve"> (En Yüksek Net)</t>
    </r>
  </si>
  <si>
    <r>
      <t xml:space="preserve">Taşra Yıllık Ortalama     </t>
    </r>
    <r>
      <rPr>
        <b/>
        <sz val="18"/>
        <color theme="0"/>
        <rFont val="Calibri"/>
        <family val="2"/>
        <charset val="162"/>
        <scheme val="minor"/>
      </rPr>
      <t xml:space="preserve">   (En Düşük Net)</t>
    </r>
  </si>
  <si>
    <t>SAĞLIK TESİSİ PERSONELİ İÇİN SÖZLEŞME ÜCRETLERİ</t>
  </si>
  <si>
    <t>Kanuni Tavan Ek Ödeme (Net)</t>
  </si>
  <si>
    <t>Tavan Sözleşme Ücreti Katsayısı</t>
  </si>
  <si>
    <t>Toplam Ücret (BRÜT)</t>
  </si>
  <si>
    <t>Brüt Ek Ödeme</t>
  </si>
  <si>
    <t xml:space="preserve"> Tavan Ek Ödeme            (Brüt)</t>
  </si>
  <si>
    <t>A</t>
  </si>
  <si>
    <t>B</t>
  </si>
  <si>
    <t xml:space="preserve">Gelir Vergisi    </t>
  </si>
  <si>
    <t>A*B*0,93</t>
  </si>
  <si>
    <t>C = A*B*0,94</t>
  </si>
  <si>
    <t>D</t>
  </si>
  <si>
    <t>E</t>
  </si>
  <si>
    <t>C - D - E</t>
  </si>
  <si>
    <t>* Gelir vergisi; tüm ünvanlar için %27 olareak hesaplamaya alınmıştır.</t>
  </si>
  <si>
    <t xml:space="preserve">    NOT :</t>
  </si>
  <si>
    <t>* Birlik katsayısı olarak ülke ortalamsı olan 0,93 değeri esas alınmıştır.</t>
  </si>
  <si>
    <t>* Sağlık tesisi katsayısı olarak ülke ortalamsı olan 0,94 değeri esas alınmıştır.</t>
  </si>
  <si>
    <t xml:space="preserve">SAĞLIK TESİSİ PERSONELİ EK ÖDEME </t>
  </si>
  <si>
    <t xml:space="preserve">BİRLİK PERSONELİ EK ÖDEME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</si>
</sst>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T_L_-;\-* #,##0.00\ _T_L_-;_-* &quot;-&quot;??\ _T_L_-;_-@_-"/>
    <numFmt numFmtId="164" formatCode="_-* #,##0\ _T_L_-;\-* #,##0\ _T_L_-;_-* &quot;-&quot;??\ _T_L_-;_-@_-"/>
    <numFmt numFmtId="165" formatCode="_-* #,##0.000\ _T_L_-;\-* #,##0.000\ _T_L_-;_-* &quot;-&quot;??\ _T_L_-;_-@_-"/>
    <numFmt numFmtId="166" formatCode="#,##0_ ;\-#,##0\ "/>
    <numFmt numFmtId="167" formatCode="0.000"/>
  </numFmts>
  <fonts count="7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0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sz val="18"/>
      <color rgb="FFFF000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20"/>
      <color rgb="FF00B050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0"/>
      <color rgb="FF00B0F0"/>
      <name val="Calibri"/>
      <family val="2"/>
      <charset val="162"/>
      <scheme val="minor"/>
    </font>
    <font>
      <sz val="20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7"/>
      <name val="Calibri"/>
      <family val="2"/>
      <charset val="162"/>
      <scheme val="minor"/>
    </font>
    <font>
      <b/>
      <sz val="17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2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36"/>
      <name val="Calibri"/>
      <family val="2"/>
      <charset val="162"/>
      <scheme val="minor"/>
    </font>
    <font>
      <b/>
      <sz val="36"/>
      <color rgb="FFC00000"/>
      <name val="Calibri"/>
      <family val="2"/>
      <charset val="162"/>
      <scheme val="minor"/>
    </font>
    <font>
      <sz val="22"/>
      <color rgb="FFFF0000"/>
      <name val="Calibri"/>
      <family val="2"/>
      <charset val="162"/>
      <scheme val="minor"/>
    </font>
    <font>
      <b/>
      <sz val="48"/>
      <name val="Calibri"/>
      <family val="2"/>
      <charset val="162"/>
      <scheme val="minor"/>
    </font>
    <font>
      <sz val="10"/>
      <name val="MS Sans Serif"/>
      <family val="2"/>
      <charset val="162"/>
    </font>
    <font>
      <sz val="22"/>
      <color rgb="FF00206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6"/>
      <color rgb="FF00B0F0"/>
      <name val="Calibri"/>
      <family val="2"/>
      <charset val="162"/>
      <scheme val="minor"/>
    </font>
    <font>
      <b/>
      <sz val="16"/>
      <color theme="9" tint="-0.249977111117893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sz val="16"/>
      <color theme="9" tint="-0.249977111117893"/>
      <name val="Calibri"/>
      <family val="2"/>
      <charset val="162"/>
      <scheme val="minor"/>
    </font>
    <font>
      <sz val="22"/>
      <color rgb="FF0070C0"/>
      <name val="Calibri"/>
      <family val="2"/>
      <charset val="162"/>
      <scheme val="minor"/>
    </font>
    <font>
      <sz val="16"/>
      <color rgb="FF0070C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sz val="26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sz val="24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sz val="24"/>
      <color rgb="FF002060"/>
      <name val="Calibri"/>
      <family val="2"/>
      <charset val="162"/>
      <scheme val="minor"/>
    </font>
    <font>
      <sz val="24"/>
      <color rgb="FFFF0000"/>
      <name val="Calibri"/>
      <family val="2"/>
      <charset val="162"/>
      <scheme val="minor"/>
    </font>
    <font>
      <sz val="24"/>
      <color rgb="FF0070C0"/>
      <name val="Calibri"/>
      <family val="2"/>
      <charset val="162"/>
      <scheme val="minor"/>
    </font>
    <font>
      <sz val="18"/>
      <color rgb="FF0070C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0"/>
      <color theme="9" tint="-0.249977111117893"/>
      <name val="Calibri"/>
      <family val="2"/>
      <charset val="162"/>
      <scheme val="minor"/>
    </font>
    <font>
      <b/>
      <sz val="36"/>
      <color theme="0"/>
      <name val="Calibri"/>
      <family val="2"/>
      <charset val="162"/>
      <scheme val="minor"/>
    </font>
    <font>
      <b/>
      <sz val="26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indexed="64"/>
      </right>
      <top style="medium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medium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thin">
        <color indexed="64"/>
      </bottom>
      <diagonal/>
    </border>
    <border>
      <left style="thin">
        <color theme="3" tint="0.3999755851924192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3" tint="0.39997558519241921"/>
      </top>
      <bottom style="medium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medium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medium">
        <color indexed="64"/>
      </right>
      <top/>
      <bottom style="thin">
        <color theme="3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3" tint="0.3999755851924192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6" fillId="5" borderId="0" applyNumberFormat="0" applyBorder="0" applyAlignment="0" applyProtection="0"/>
    <xf numFmtId="0" fontId="51" fillId="0" borderId="0"/>
  </cellStyleXfs>
  <cellXfs count="800">
    <xf numFmtId="0" fontId="0" fillId="0" borderId="0" xfId="0"/>
    <xf numFmtId="0" fontId="7" fillId="2" borderId="0" xfId="0" applyFont="1" applyFill="1" applyBorder="1"/>
    <xf numFmtId="0" fontId="8" fillId="2" borderId="0" xfId="3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9" fontId="10" fillId="2" borderId="2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9" fontId="13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9" fontId="13" fillId="2" borderId="0" xfId="2" applyFont="1" applyFill="1" applyBorder="1" applyAlignment="1">
      <alignment horizontal="center" vertical="center" wrapText="1"/>
    </xf>
    <xf numFmtId="0" fontId="14" fillId="3" borderId="3" xfId="0" applyFont="1" applyFill="1" applyBorder="1"/>
    <xf numFmtId="0" fontId="7" fillId="3" borderId="4" xfId="0" applyFont="1" applyFill="1" applyBorder="1"/>
    <xf numFmtId="3" fontId="11" fillId="3" borderId="4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9" fontId="13" fillId="3" borderId="4" xfId="2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/>
    <xf numFmtId="0" fontId="7" fillId="3" borderId="0" xfId="0" applyFont="1" applyFill="1" applyBorder="1"/>
    <xf numFmtId="3" fontId="11" fillId="3" borderId="0" xfId="0" applyNumberFormat="1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 wrapText="1"/>
    </xf>
    <xf numFmtId="9" fontId="13" fillId="3" borderId="0" xfId="2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/>
    <xf numFmtId="0" fontId="10" fillId="3" borderId="6" xfId="0" applyFont="1" applyFill="1" applyBorder="1"/>
    <xf numFmtId="0" fontId="14" fillId="3" borderId="8" xfId="0" applyFont="1" applyFill="1" applyBorder="1"/>
    <xf numFmtId="0" fontId="7" fillId="3" borderId="9" xfId="0" applyFont="1" applyFill="1" applyBorder="1"/>
    <xf numFmtId="3" fontId="11" fillId="3" borderId="9" xfId="0" applyNumberFormat="1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 wrapText="1"/>
    </xf>
    <xf numFmtId="9" fontId="13" fillId="3" borderId="9" xfId="2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/>
    <xf numFmtId="0" fontId="11" fillId="2" borderId="1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/>
    </xf>
    <xf numFmtId="0" fontId="14" fillId="3" borderId="13" xfId="0" applyFont="1" applyFill="1" applyBorder="1"/>
    <xf numFmtId="0" fontId="7" fillId="3" borderId="14" xfId="0" applyFont="1" applyFill="1" applyBorder="1"/>
    <xf numFmtId="3" fontId="11" fillId="3" borderId="14" xfId="0" applyNumberFormat="1" applyFont="1" applyFill="1" applyBorder="1" applyAlignment="1">
      <alignment horizontal="center" vertical="center" wrapText="1"/>
    </xf>
    <xf numFmtId="3" fontId="13" fillId="3" borderId="14" xfId="0" applyNumberFormat="1" applyFont="1" applyFill="1" applyBorder="1" applyAlignment="1">
      <alignment horizontal="center" vertical="center" wrapText="1"/>
    </xf>
    <xf numFmtId="9" fontId="13" fillId="3" borderId="14" xfId="2" applyFont="1" applyFill="1" applyBorder="1" applyAlignment="1">
      <alignment horizontal="center" vertical="center" wrapText="1"/>
    </xf>
    <xf numFmtId="0" fontId="7" fillId="3" borderId="15" xfId="0" applyFont="1" applyFill="1" applyBorder="1"/>
    <xf numFmtId="0" fontId="15" fillId="3" borderId="16" xfId="0" applyFont="1" applyFill="1" applyBorder="1"/>
    <xf numFmtId="0" fontId="7" fillId="3" borderId="17" xfId="0" applyFont="1" applyFill="1" applyBorder="1"/>
    <xf numFmtId="0" fontId="7" fillId="3" borderId="16" xfId="0" applyFont="1" applyFill="1" applyBorder="1"/>
    <xf numFmtId="0" fontId="10" fillId="3" borderId="16" xfId="0" applyFont="1" applyFill="1" applyBorder="1"/>
    <xf numFmtId="0" fontId="14" fillId="3" borderId="18" xfId="0" applyFont="1" applyFill="1" applyBorder="1"/>
    <xf numFmtId="0" fontId="7" fillId="3" borderId="19" xfId="0" applyFont="1" applyFill="1" applyBorder="1"/>
    <xf numFmtId="3" fontId="11" fillId="3" borderId="19" xfId="0" applyNumberFormat="1" applyFont="1" applyFill="1" applyBorder="1" applyAlignment="1">
      <alignment horizontal="center" vertical="center" wrapText="1"/>
    </xf>
    <xf numFmtId="3" fontId="13" fillId="3" borderId="19" xfId="0" applyNumberFormat="1" applyFont="1" applyFill="1" applyBorder="1" applyAlignment="1">
      <alignment horizontal="center" vertical="center" wrapText="1"/>
    </xf>
    <xf numFmtId="9" fontId="13" fillId="3" borderId="19" xfId="2" applyFont="1" applyFill="1" applyBorder="1" applyAlignment="1">
      <alignment horizontal="center" vertical="center" wrapText="1"/>
    </xf>
    <xf numFmtId="0" fontId="7" fillId="3" borderId="20" xfId="0" applyFont="1" applyFill="1" applyBorder="1"/>
    <xf numFmtId="0" fontId="7" fillId="2" borderId="0" xfId="0" applyFont="1" applyFill="1" applyAlignment="1">
      <alignment horizontal="center"/>
    </xf>
    <xf numFmtId="164" fontId="7" fillId="2" borderId="0" xfId="1" applyNumberFormat="1" applyFont="1" applyFill="1"/>
    <xf numFmtId="3" fontId="7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9" fontId="10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5" fillId="2" borderId="0" xfId="0" applyFont="1" applyFill="1" applyBorder="1"/>
    <xf numFmtId="9" fontId="12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" fontId="12" fillId="3" borderId="1" xfId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0" fillId="2" borderId="1" xfId="1" applyNumberFormat="1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2" borderId="1" xfId="0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11" fillId="3" borderId="6" xfId="0" applyFont="1" applyFill="1" applyBorder="1"/>
    <xf numFmtId="0" fontId="7" fillId="3" borderId="8" xfId="0" applyFont="1" applyFill="1" applyBorder="1"/>
    <xf numFmtId="0" fontId="2" fillId="3" borderId="16" xfId="0" applyFont="1" applyFill="1" applyBorder="1"/>
    <xf numFmtId="0" fontId="11" fillId="3" borderId="16" xfId="0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1" xfId="4" applyFont="1" applyFill="1" applyBorder="1" applyAlignment="1">
      <alignment horizontal="left" vertical="center" wrapText="1"/>
    </xf>
    <xf numFmtId="0" fontId="7" fillId="2" borderId="24" xfId="0" applyFont="1" applyFill="1" applyBorder="1"/>
    <xf numFmtId="164" fontId="7" fillId="2" borderId="24" xfId="1" applyNumberFormat="1" applyFont="1" applyFill="1" applyBorder="1"/>
    <xf numFmtId="3" fontId="11" fillId="2" borderId="26" xfId="0" applyNumberFormat="1" applyFont="1" applyFill="1" applyBorder="1" applyAlignment="1">
      <alignment horizontal="center" vertical="center" wrapText="1"/>
    </xf>
    <xf numFmtId="164" fontId="7" fillId="2" borderId="28" xfId="1" applyNumberFormat="1" applyFont="1" applyFill="1" applyBorder="1"/>
    <xf numFmtId="164" fontId="7" fillId="2" borderId="0" xfId="1" applyNumberFormat="1" applyFont="1" applyFill="1" applyBorder="1"/>
    <xf numFmtId="3" fontId="11" fillId="4" borderId="34" xfId="0" applyNumberFormat="1" applyFont="1" applyFill="1" applyBorder="1" applyAlignment="1">
      <alignment horizontal="center" vertical="center" wrapText="1"/>
    </xf>
    <xf numFmtId="3" fontId="13" fillId="2" borderId="34" xfId="0" applyNumberFormat="1" applyFont="1" applyFill="1" applyBorder="1" applyAlignment="1">
      <alignment horizontal="center" vertical="center" wrapText="1"/>
    </xf>
    <xf numFmtId="164" fontId="7" fillId="2" borderId="27" xfId="1" applyNumberFormat="1" applyFont="1" applyFill="1" applyBorder="1"/>
    <xf numFmtId="3" fontId="13" fillId="2" borderId="35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9" fillId="2" borderId="33" xfId="3" applyFont="1" applyFill="1" applyBorder="1" applyAlignment="1">
      <alignment horizontal="left" vertical="center" wrapText="1"/>
    </xf>
    <xf numFmtId="0" fontId="8" fillId="2" borderId="33" xfId="3" applyFont="1" applyFill="1" applyBorder="1" applyAlignment="1">
      <alignment horizontal="left" vertical="center" wrapText="1"/>
    </xf>
    <xf numFmtId="0" fontId="14" fillId="2" borderId="24" xfId="0" applyFont="1" applyFill="1" applyBorder="1"/>
    <xf numFmtId="0" fontId="3" fillId="6" borderId="2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left" vertical="center"/>
    </xf>
    <xf numFmtId="3" fontId="11" fillId="2" borderId="24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26" xfId="0" applyNumberFormat="1" applyFont="1" applyFill="1" applyBorder="1" applyAlignment="1">
      <alignment horizontal="center" vertical="center" wrapText="1"/>
    </xf>
    <xf numFmtId="9" fontId="10" fillId="3" borderId="1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20" fillId="2" borderId="1" xfId="4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9" fillId="3" borderId="4" xfId="0" applyFont="1" applyFill="1" applyBorder="1"/>
    <xf numFmtId="3" fontId="9" fillId="3" borderId="4" xfId="0" applyNumberFormat="1" applyFont="1" applyFill="1" applyBorder="1" applyAlignment="1">
      <alignment horizontal="center" vertical="center" wrapText="1"/>
    </xf>
    <xf numFmtId="3" fontId="22" fillId="3" borderId="4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9" fillId="2" borderId="0" xfId="0" applyFont="1" applyFill="1" applyBorder="1"/>
    <xf numFmtId="0" fontId="24" fillId="0" borderId="0" xfId="0" applyFont="1"/>
    <xf numFmtId="0" fontId="22" fillId="3" borderId="6" xfId="0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 applyAlignment="1">
      <alignment horizontal="center" vertical="center" wrapText="1"/>
    </xf>
    <xf numFmtId="3" fontId="22" fillId="3" borderId="0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3" fontId="9" fillId="3" borderId="9" xfId="0" applyNumberFormat="1" applyFont="1" applyFill="1" applyBorder="1" applyAlignment="1">
      <alignment horizontal="center" vertical="center" wrapText="1"/>
    </xf>
    <xf numFmtId="3" fontId="22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0" fontId="25" fillId="2" borderId="0" xfId="0" applyFont="1" applyFill="1" applyBorder="1"/>
    <xf numFmtId="4" fontId="26" fillId="3" borderId="1" xfId="1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21" fillId="0" borderId="0" xfId="1" applyNumberFormat="1" applyFont="1"/>
    <xf numFmtId="9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2" borderId="0" xfId="0" applyFont="1" applyFill="1" applyBorder="1"/>
    <xf numFmtId="4" fontId="28" fillId="3" borderId="1" xfId="1" applyNumberFormat="1" applyFont="1" applyFill="1" applyBorder="1" applyAlignment="1">
      <alignment horizontal="center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9" fillId="2" borderId="1" xfId="0" applyFont="1" applyFill="1" applyBorder="1" applyAlignment="1">
      <alignment horizontal="center" vertical="center"/>
    </xf>
    <xf numFmtId="4" fontId="31" fillId="3" borderId="1" xfId="1" applyNumberFormat="1" applyFon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7" borderId="38" xfId="0" applyFont="1" applyFill="1" applyBorder="1" applyAlignment="1">
      <alignment horizontal="center" vertical="center" wrapText="1"/>
    </xf>
    <xf numFmtId="165" fontId="18" fillId="7" borderId="38" xfId="1" applyNumberFormat="1" applyFont="1" applyFill="1" applyBorder="1" applyAlignment="1">
      <alignment horizontal="center" vertical="top" wrapText="1"/>
    </xf>
    <xf numFmtId="0" fontId="34" fillId="2" borderId="38" xfId="0" applyFont="1" applyFill="1" applyBorder="1" applyAlignment="1">
      <alignment horizontal="left"/>
    </xf>
    <xf numFmtId="43" fontId="34" fillId="2" borderId="38" xfId="1" applyNumberFormat="1" applyFont="1" applyFill="1" applyBorder="1" applyAlignment="1">
      <alignment horizontal="center"/>
    </xf>
    <xf numFmtId="43" fontId="34" fillId="2" borderId="38" xfId="1" applyFont="1" applyFill="1" applyBorder="1" applyAlignment="1">
      <alignment horizontal="center" vertical="center"/>
    </xf>
    <xf numFmtId="43" fontId="34" fillId="8" borderId="38" xfId="1" applyNumberFormat="1" applyFon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36" fillId="0" borderId="39" xfId="0" applyFont="1" applyBorder="1" applyAlignment="1">
      <alignment horizontal="center" vertical="center" wrapText="1"/>
    </xf>
    <xf numFmtId="0" fontId="35" fillId="0" borderId="40" xfId="0" applyFont="1" applyBorder="1" applyAlignment="1">
      <alignment vertical="center"/>
    </xf>
    <xf numFmtId="0" fontId="36" fillId="0" borderId="40" xfId="0" applyFont="1" applyBorder="1" applyAlignment="1">
      <alignment horizontal="center" vertical="center" wrapText="1"/>
    </xf>
    <xf numFmtId="4" fontId="36" fillId="0" borderId="31" xfId="0" applyNumberFormat="1" applyFont="1" applyBorder="1" applyAlignment="1">
      <alignment horizontal="center" vertical="center" wrapText="1"/>
    </xf>
    <xf numFmtId="4" fontId="36" fillId="0" borderId="28" xfId="0" applyNumberFormat="1" applyFont="1" applyBorder="1" applyAlignment="1">
      <alignment horizontal="center" vertical="center"/>
    </xf>
    <xf numFmtId="4" fontId="0" fillId="0" borderId="0" xfId="0" applyNumberFormat="1"/>
    <xf numFmtId="2" fontId="36" fillId="0" borderId="31" xfId="0" applyNumberFormat="1" applyFont="1" applyBorder="1" applyAlignment="1">
      <alignment horizontal="center" vertical="center" wrapText="1"/>
    </xf>
    <xf numFmtId="2" fontId="36" fillId="0" borderId="28" xfId="0" applyNumberFormat="1" applyFont="1" applyBorder="1" applyAlignment="1">
      <alignment horizontal="center" vertical="center"/>
    </xf>
    <xf numFmtId="2" fontId="36" fillId="0" borderId="28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5" fillId="0" borderId="0" xfId="0" applyFont="1" applyFill="1" applyBorder="1"/>
    <xf numFmtId="0" fontId="8" fillId="2" borderId="0" xfId="3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indent="1"/>
    </xf>
    <xf numFmtId="0" fontId="22" fillId="3" borderId="6" xfId="0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9" fillId="3" borderId="8" xfId="0" applyFont="1" applyFill="1" applyBorder="1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15" fillId="2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23" fillId="3" borderId="13" xfId="0" applyFont="1" applyFill="1" applyBorder="1" applyAlignment="1">
      <alignment horizontal="left" indent="1"/>
    </xf>
    <xf numFmtId="0" fontId="9" fillId="3" borderId="14" xfId="0" applyFont="1" applyFill="1" applyBorder="1"/>
    <xf numFmtId="3" fontId="9" fillId="3" borderId="14" xfId="0" applyNumberFormat="1" applyFont="1" applyFill="1" applyBorder="1" applyAlignment="1">
      <alignment horizontal="center" vertical="center" wrapText="1"/>
    </xf>
    <xf numFmtId="3" fontId="22" fillId="3" borderId="14" xfId="0" applyNumberFormat="1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left" indent="1"/>
    </xf>
    <xf numFmtId="3" fontId="9" fillId="3" borderId="17" xfId="0" applyNumberFormat="1" applyFont="1" applyFill="1" applyBorder="1" applyAlignment="1">
      <alignment horizontal="center" vertical="center" wrapText="1"/>
    </xf>
    <xf numFmtId="3" fontId="22" fillId="3" borderId="18" xfId="0" applyNumberFormat="1" applyFont="1" applyFill="1" applyBorder="1" applyAlignment="1">
      <alignment horizontal="left" vertical="center" wrapText="1" indent="1"/>
    </xf>
    <xf numFmtId="3" fontId="22" fillId="3" borderId="19" xfId="0" applyNumberFormat="1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 indent="1"/>
    </xf>
    <xf numFmtId="0" fontId="3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left" indent="1"/>
    </xf>
    <xf numFmtId="0" fontId="20" fillId="3" borderId="6" xfId="0" applyFont="1" applyFill="1" applyBorder="1" applyAlignment="1">
      <alignment horizontal="left" indent="1"/>
    </xf>
    <xf numFmtId="0" fontId="14" fillId="2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left" vertical="center"/>
    </xf>
    <xf numFmtId="0" fontId="37" fillId="2" borderId="1" xfId="4" applyFont="1" applyFill="1" applyBorder="1" applyAlignment="1">
      <alignment horizontal="left" vertical="center" wrapText="1"/>
    </xf>
    <xf numFmtId="4" fontId="40" fillId="10" borderId="1" xfId="1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42" fillId="0" borderId="0" xfId="0" applyFont="1"/>
    <xf numFmtId="0" fontId="2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 indent="1"/>
    </xf>
    <xf numFmtId="0" fontId="39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2" borderId="0" xfId="0" applyFont="1" applyFill="1"/>
    <xf numFmtId="0" fontId="45" fillId="0" borderId="0" xfId="0" applyFont="1"/>
    <xf numFmtId="3" fontId="43" fillId="2" borderId="1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indent="1"/>
    </xf>
    <xf numFmtId="0" fontId="19" fillId="2" borderId="1" xfId="4" applyFont="1" applyFill="1" applyBorder="1" applyAlignment="1">
      <alignment horizontal="left" vertical="center" wrapText="1"/>
    </xf>
    <xf numFmtId="3" fontId="43" fillId="4" borderId="1" xfId="0" applyNumberFormat="1" applyFont="1" applyFill="1" applyBorder="1" applyAlignment="1">
      <alignment horizontal="center" vertical="center" wrapText="1"/>
    </xf>
    <xf numFmtId="3" fontId="49" fillId="2" borderId="1" xfId="0" applyNumberFormat="1" applyFont="1" applyFill="1" applyBorder="1" applyAlignment="1">
      <alignment horizontal="center" vertical="center" wrapText="1"/>
    </xf>
    <xf numFmtId="0" fontId="43" fillId="2" borderId="1" xfId="4" applyFont="1" applyFill="1" applyBorder="1" applyAlignment="1">
      <alignment horizontal="center" vertical="center" wrapText="1"/>
    </xf>
    <xf numFmtId="0" fontId="43" fillId="2" borderId="1" xfId="4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left" vertical="center" indent="1"/>
    </xf>
    <xf numFmtId="0" fontId="25" fillId="3" borderId="0" xfId="0" applyFont="1" applyFill="1" applyBorder="1"/>
    <xf numFmtId="3" fontId="25" fillId="3" borderId="0" xfId="0" applyNumberFormat="1" applyFont="1" applyFill="1" applyBorder="1" applyAlignment="1">
      <alignment horizontal="center" vertical="center" wrapText="1"/>
    </xf>
    <xf numFmtId="3" fontId="27" fillId="3" borderId="0" xfId="0" applyNumberFormat="1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left" indent="1"/>
    </xf>
    <xf numFmtId="0" fontId="19" fillId="3" borderId="14" xfId="0" applyFont="1" applyFill="1" applyBorder="1"/>
    <xf numFmtId="3" fontId="19" fillId="3" borderId="14" xfId="0" applyNumberFormat="1" applyFont="1" applyFill="1" applyBorder="1" applyAlignment="1">
      <alignment horizontal="center" vertical="center" wrapText="1"/>
    </xf>
    <xf numFmtId="3" fontId="32" fillId="3" borderId="14" xfId="0" applyNumberFormat="1" applyFont="1" applyFill="1" applyBorder="1" applyAlignment="1">
      <alignment horizontal="center" vertical="center" wrapText="1"/>
    </xf>
    <xf numFmtId="3" fontId="19" fillId="3" borderId="15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/>
    <xf numFmtId="3" fontId="19" fillId="3" borderId="0" xfId="0" applyNumberFormat="1" applyFont="1" applyFill="1" applyBorder="1" applyAlignment="1">
      <alignment horizontal="center" vertical="center" wrapText="1"/>
    </xf>
    <xf numFmtId="3" fontId="32" fillId="3" borderId="0" xfId="0" applyNumberFormat="1" applyFont="1" applyFill="1" applyBorder="1" applyAlignment="1">
      <alignment horizontal="center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3" fontId="32" fillId="3" borderId="18" xfId="0" applyNumberFormat="1" applyFont="1" applyFill="1" applyBorder="1" applyAlignment="1">
      <alignment horizontal="left" vertical="center" wrapText="1" indent="1"/>
    </xf>
    <xf numFmtId="3" fontId="32" fillId="3" borderId="19" xfId="0" applyNumberFormat="1" applyFont="1" applyFill="1" applyBorder="1" applyAlignment="1">
      <alignment horizontal="center" vertical="center" wrapText="1"/>
    </xf>
    <xf numFmtId="3" fontId="19" fillId="3" borderId="20" xfId="0" applyNumberFormat="1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left" indent="1"/>
    </xf>
    <xf numFmtId="0" fontId="25" fillId="3" borderId="4" xfId="0" applyFont="1" applyFill="1" applyBorder="1"/>
    <xf numFmtId="3" fontId="25" fillId="3" borderId="4" xfId="0" applyNumberFormat="1" applyFont="1" applyFill="1" applyBorder="1" applyAlignment="1">
      <alignment horizontal="center" vertical="center" wrapText="1"/>
    </xf>
    <xf numFmtId="3" fontId="27" fillId="3" borderId="4" xfId="0" applyNumberFormat="1" applyFont="1" applyFill="1" applyBorder="1" applyAlignment="1">
      <alignment horizontal="center" vertical="center" wrapText="1"/>
    </xf>
    <xf numFmtId="3" fontId="25" fillId="3" borderId="5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left" indent="1"/>
    </xf>
    <xf numFmtId="3" fontId="25" fillId="3" borderId="7" xfId="0" applyNumberFormat="1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left" indent="1"/>
    </xf>
    <xf numFmtId="0" fontId="27" fillId="3" borderId="6" xfId="0" applyFont="1" applyFill="1" applyBorder="1" applyAlignment="1">
      <alignment horizontal="left" indent="1"/>
    </xf>
    <xf numFmtId="0" fontId="25" fillId="3" borderId="8" xfId="0" applyFont="1" applyFill="1" applyBorder="1" applyAlignment="1">
      <alignment horizontal="left" indent="1"/>
    </xf>
    <xf numFmtId="0" fontId="25" fillId="3" borderId="9" xfId="0" applyFont="1" applyFill="1" applyBorder="1"/>
    <xf numFmtId="3" fontId="25" fillId="3" borderId="9" xfId="0" applyNumberFormat="1" applyFont="1" applyFill="1" applyBorder="1" applyAlignment="1">
      <alignment horizontal="center" vertical="center" wrapText="1"/>
    </xf>
    <xf numFmtId="3" fontId="27" fillId="3" borderId="9" xfId="0" applyNumberFormat="1" applyFont="1" applyFill="1" applyBorder="1" applyAlignment="1">
      <alignment horizontal="center" vertical="center" wrapText="1"/>
    </xf>
    <xf numFmtId="3" fontId="25" fillId="3" borderId="10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45" fillId="0" borderId="38" xfId="0" applyFont="1" applyBorder="1"/>
    <xf numFmtId="164" fontId="45" fillId="0" borderId="38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9" fontId="12" fillId="2" borderId="12" xfId="0" applyNumberFormat="1" applyFont="1" applyFill="1" applyBorder="1" applyAlignment="1">
      <alignment horizontal="center" vertical="center" wrapText="1"/>
    </xf>
    <xf numFmtId="0" fontId="37" fillId="2" borderId="1" xfId="4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center" vertical="center" wrapText="1"/>
    </xf>
    <xf numFmtId="164" fontId="45" fillId="4" borderId="38" xfId="1" applyNumberFormat="1" applyFont="1" applyFill="1" applyBorder="1" applyAlignment="1">
      <alignment horizontal="center" vertical="center"/>
    </xf>
    <xf numFmtId="4" fontId="44" fillId="4" borderId="1" xfId="1" applyNumberFormat="1" applyFont="1" applyFill="1" applyBorder="1" applyAlignment="1">
      <alignment horizontal="center" vertical="center" wrapText="1"/>
    </xf>
    <xf numFmtId="4" fontId="44" fillId="2" borderId="1" xfId="1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3" fontId="49" fillId="4" borderId="1" xfId="0" applyNumberFormat="1" applyFont="1" applyFill="1" applyBorder="1" applyAlignment="1">
      <alignment horizontal="center" vertical="center" wrapText="1"/>
    </xf>
    <xf numFmtId="0" fontId="19" fillId="4" borderId="1" xfId="4" applyFont="1" applyFill="1" applyBorder="1" applyAlignment="1">
      <alignment horizontal="left" vertical="center" wrapText="1"/>
    </xf>
    <xf numFmtId="0" fontId="43" fillId="4" borderId="1" xfId="4" applyFont="1" applyFill="1" applyBorder="1" applyAlignment="1">
      <alignment horizontal="center" vertical="center" wrapText="1"/>
    </xf>
    <xf numFmtId="0" fontId="25" fillId="4" borderId="1" xfId="4" applyFont="1" applyFill="1" applyBorder="1" applyAlignment="1">
      <alignment horizontal="left" vertical="center" wrapText="1"/>
    </xf>
    <xf numFmtId="0" fontId="3" fillId="0" borderId="0" xfId="0" applyFont="1"/>
    <xf numFmtId="0" fontId="38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" fontId="12" fillId="4" borderId="12" xfId="1" applyNumberFormat="1" applyFont="1" applyFill="1" applyBorder="1" applyAlignment="1">
      <alignment horizontal="center" vertical="center" wrapText="1"/>
    </xf>
    <xf numFmtId="4" fontId="12" fillId="3" borderId="12" xfId="1" applyNumberFormat="1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9" fontId="8" fillId="11" borderId="45" xfId="0" applyNumberFormat="1" applyFont="1" applyFill="1" applyBorder="1" applyAlignment="1">
      <alignment horizontal="center" vertical="center" wrapText="1"/>
    </xf>
    <xf numFmtId="9" fontId="8" fillId="11" borderId="46" xfId="0" applyNumberFormat="1" applyFont="1" applyFill="1" applyBorder="1" applyAlignment="1">
      <alignment horizontal="center" vertical="center" wrapText="1"/>
    </xf>
    <xf numFmtId="0" fontId="38" fillId="2" borderId="32" xfId="0" applyFont="1" applyFill="1" applyBorder="1" applyAlignment="1">
      <alignment horizontal="left" vertical="center" wrapText="1" indent="1"/>
    </xf>
    <xf numFmtId="0" fontId="0" fillId="0" borderId="0" xfId="0" applyBorder="1"/>
    <xf numFmtId="0" fontId="0" fillId="0" borderId="24" xfId="0" applyBorder="1"/>
    <xf numFmtId="164" fontId="45" fillId="4" borderId="47" xfId="1" applyNumberFormat="1" applyFont="1" applyFill="1" applyBorder="1" applyAlignment="1">
      <alignment horizontal="center" vertical="center"/>
    </xf>
    <xf numFmtId="164" fontId="45" fillId="0" borderId="47" xfId="1" applyNumberFormat="1" applyFont="1" applyBorder="1" applyAlignment="1">
      <alignment horizontal="center" vertical="center"/>
    </xf>
    <xf numFmtId="0" fontId="43" fillId="4" borderId="26" xfId="4" applyFont="1" applyFill="1" applyBorder="1" applyAlignment="1">
      <alignment horizontal="center" vertical="center" wrapText="1"/>
    </xf>
    <xf numFmtId="3" fontId="43" fillId="4" borderId="26" xfId="0" applyNumberFormat="1" applyFont="1" applyFill="1" applyBorder="1" applyAlignment="1">
      <alignment horizontal="center" vertical="center" wrapText="1"/>
    </xf>
    <xf numFmtId="3" fontId="49" fillId="4" borderId="26" xfId="0" applyNumberFormat="1" applyFont="1" applyFill="1" applyBorder="1" applyAlignment="1">
      <alignment horizontal="center" vertical="center" wrapText="1"/>
    </xf>
    <xf numFmtId="4" fontId="44" fillId="4" borderId="26" xfId="1" applyNumberFormat="1" applyFont="1" applyFill="1" applyBorder="1" applyAlignment="1">
      <alignment horizontal="center" vertical="center" wrapText="1"/>
    </xf>
    <xf numFmtId="164" fontId="45" fillId="4" borderId="48" xfId="1" applyNumberFormat="1" applyFont="1" applyFill="1" applyBorder="1" applyAlignment="1">
      <alignment horizontal="center" vertical="center"/>
    </xf>
    <xf numFmtId="164" fontId="45" fillId="4" borderId="49" xfId="1" applyNumberFormat="1" applyFont="1" applyFill="1" applyBorder="1" applyAlignment="1">
      <alignment horizontal="center" vertical="center"/>
    </xf>
    <xf numFmtId="0" fontId="41" fillId="11" borderId="1" xfId="0" applyFont="1" applyFill="1" applyBorder="1" applyAlignment="1">
      <alignment horizontal="center" vertical="center" wrapText="1"/>
    </xf>
    <xf numFmtId="9" fontId="41" fillId="11" borderId="1" xfId="0" applyNumberFormat="1" applyFont="1" applyFill="1" applyBorder="1" applyAlignment="1">
      <alignment horizontal="center" vertical="center" wrapText="1"/>
    </xf>
    <xf numFmtId="9" fontId="41" fillId="11" borderId="38" xfId="0" applyNumberFormat="1" applyFont="1" applyFill="1" applyBorder="1" applyAlignment="1">
      <alignment horizontal="center" vertical="center" wrapText="1"/>
    </xf>
    <xf numFmtId="4" fontId="44" fillId="4" borderId="43" xfId="1" applyNumberFormat="1" applyFont="1" applyFill="1" applyBorder="1" applyAlignment="1">
      <alignment horizontal="center" vertical="center" wrapText="1"/>
    </xf>
    <xf numFmtId="4" fontId="44" fillId="2" borderId="43" xfId="1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/>
    </xf>
    <xf numFmtId="0" fontId="43" fillId="4" borderId="1" xfId="0" applyFont="1" applyFill="1" applyBorder="1" applyAlignment="1">
      <alignment horizontal="center" vertical="center"/>
    </xf>
    <xf numFmtId="0" fontId="34" fillId="0" borderId="0" xfId="0" applyFont="1"/>
    <xf numFmtId="0" fontId="12" fillId="2" borderId="0" xfId="0" applyFont="1" applyFill="1"/>
    <xf numFmtId="164" fontId="24" fillId="0" borderId="0" xfId="0" applyNumberFormat="1" applyFont="1" applyAlignment="1">
      <alignment horizontal="center" vertical="center"/>
    </xf>
    <xf numFmtId="43" fontId="45" fillId="0" borderId="0" xfId="1" applyFont="1"/>
    <xf numFmtId="0" fontId="41" fillId="11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25" fillId="3" borderId="16" xfId="0" applyFont="1" applyFill="1" applyBorder="1" applyAlignment="1">
      <alignment horizontal="left" indent="1"/>
    </xf>
    <xf numFmtId="164" fontId="45" fillId="12" borderId="47" xfId="1" applyNumberFormat="1" applyFont="1" applyFill="1" applyBorder="1" applyAlignment="1">
      <alignment horizontal="center" vertical="center"/>
    </xf>
    <xf numFmtId="164" fontId="45" fillId="12" borderId="49" xfId="1" applyNumberFormat="1" applyFont="1" applyFill="1" applyBorder="1" applyAlignment="1">
      <alignment horizontal="center" vertical="center"/>
    </xf>
    <xf numFmtId="9" fontId="8" fillId="14" borderId="46" xfId="0" applyNumberFormat="1" applyFont="1" applyFill="1" applyBorder="1" applyAlignment="1">
      <alignment horizontal="center" vertical="center" wrapText="1"/>
    </xf>
    <xf numFmtId="9" fontId="8" fillId="14" borderId="45" xfId="0" applyNumberFormat="1" applyFont="1" applyFill="1" applyBorder="1" applyAlignment="1">
      <alignment horizontal="center" vertical="center" wrapText="1"/>
    </xf>
    <xf numFmtId="0" fontId="0" fillId="0" borderId="24" xfId="0" applyFill="1" applyBorder="1"/>
    <xf numFmtId="164" fontId="45" fillId="2" borderId="38" xfId="1" applyNumberFormat="1" applyFont="1" applyFill="1" applyBorder="1" applyAlignment="1">
      <alignment horizontal="center" vertical="center"/>
    </xf>
    <xf numFmtId="0" fontId="41" fillId="11" borderId="36" xfId="0" applyFont="1" applyFill="1" applyBorder="1" applyAlignment="1">
      <alignment horizontal="center" vertical="center" wrapText="1"/>
    </xf>
    <xf numFmtId="9" fontId="41" fillId="11" borderId="36" xfId="0" applyNumberFormat="1" applyFont="1" applyFill="1" applyBorder="1" applyAlignment="1">
      <alignment horizontal="center" vertical="center" wrapText="1"/>
    </xf>
    <xf numFmtId="9" fontId="41" fillId="13" borderId="55" xfId="0" applyNumberFormat="1" applyFont="1" applyFill="1" applyBorder="1" applyAlignment="1">
      <alignment horizontal="center" vertical="center" wrapText="1"/>
    </xf>
    <xf numFmtId="9" fontId="41" fillId="13" borderId="56" xfId="0" applyNumberFormat="1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left" vertical="center" wrapText="1" indent="1"/>
    </xf>
    <xf numFmtId="0" fontId="44" fillId="2" borderId="0" xfId="0" applyFont="1" applyFill="1" applyBorder="1"/>
    <xf numFmtId="0" fontId="45" fillId="0" borderId="47" xfId="0" applyFont="1" applyBorder="1"/>
    <xf numFmtId="0" fontId="43" fillId="2" borderId="26" xfId="0" applyFont="1" applyFill="1" applyBorder="1" applyAlignment="1">
      <alignment horizontal="center" vertical="center"/>
    </xf>
    <xf numFmtId="3" fontId="43" fillId="2" borderId="26" xfId="0" applyNumberFormat="1" applyFont="1" applyFill="1" applyBorder="1" applyAlignment="1">
      <alignment horizontal="center" vertical="center" wrapText="1"/>
    </xf>
    <xf numFmtId="4" fontId="44" fillId="2" borderId="57" xfId="1" applyNumberFormat="1" applyFont="1" applyFill="1" applyBorder="1" applyAlignment="1">
      <alignment horizontal="center" vertical="center" wrapText="1"/>
    </xf>
    <xf numFmtId="164" fontId="45" fillId="0" borderId="48" xfId="1" applyNumberFormat="1" applyFont="1" applyBorder="1" applyAlignment="1">
      <alignment horizontal="center" vertical="center"/>
    </xf>
    <xf numFmtId="0" fontId="38" fillId="12" borderId="32" xfId="0" applyFont="1" applyFill="1" applyBorder="1" applyAlignment="1">
      <alignment horizontal="left" vertical="center" wrapText="1" indent="1"/>
    </xf>
    <xf numFmtId="0" fontId="11" fillId="12" borderId="12" xfId="0" applyFont="1" applyFill="1" applyBorder="1" applyAlignment="1">
      <alignment horizontal="center" vertical="center" wrapText="1"/>
    </xf>
    <xf numFmtId="0" fontId="0" fillId="12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8" fillId="12" borderId="12" xfId="0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horizontal="left" vertical="center" wrapText="1"/>
    </xf>
    <xf numFmtId="0" fontId="41" fillId="11" borderId="2" xfId="0" applyFont="1" applyFill="1" applyBorder="1" applyAlignment="1">
      <alignment horizontal="center" vertical="center" wrapText="1"/>
    </xf>
    <xf numFmtId="164" fontId="24" fillId="0" borderId="0" xfId="1" applyNumberFormat="1" applyFont="1"/>
    <xf numFmtId="164" fontId="42" fillId="0" borderId="0" xfId="0" applyNumberFormat="1" applyFont="1"/>
    <xf numFmtId="0" fontId="41" fillId="11" borderId="0" xfId="0" applyFont="1" applyFill="1" applyBorder="1" applyAlignment="1">
      <alignment horizontal="center" vertical="center" wrapText="1"/>
    </xf>
    <xf numFmtId="3" fontId="45" fillId="0" borderId="0" xfId="0" applyNumberFormat="1" applyFont="1"/>
    <xf numFmtId="0" fontId="40" fillId="10" borderId="0" xfId="0" applyFont="1" applyFill="1" applyAlignment="1">
      <alignment horizontal="center" vertical="center"/>
    </xf>
    <xf numFmtId="164" fontId="24" fillId="0" borderId="0" xfId="0" applyNumberFormat="1" applyFont="1"/>
    <xf numFmtId="164" fontId="21" fillId="0" borderId="0" xfId="0" applyNumberFormat="1" applyFont="1"/>
    <xf numFmtId="0" fontId="40" fillId="10" borderId="2" xfId="0" applyFont="1" applyFill="1" applyBorder="1" applyAlignment="1">
      <alignment horizontal="center" vertical="center" wrapText="1"/>
    </xf>
    <xf numFmtId="164" fontId="52" fillId="15" borderId="38" xfId="0" applyNumberFormat="1" applyFont="1" applyFill="1" applyBorder="1"/>
    <xf numFmtId="166" fontId="45" fillId="0" borderId="0" xfId="1" applyNumberFormat="1" applyFont="1" applyAlignment="1">
      <alignment horizontal="center"/>
    </xf>
    <xf numFmtId="2" fontId="45" fillId="0" borderId="0" xfId="0" applyNumberFormat="1" applyFont="1" applyAlignment="1">
      <alignment horizontal="center"/>
    </xf>
    <xf numFmtId="9" fontId="40" fillId="10" borderId="56" xfId="0" applyNumberFormat="1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53" fillId="0" borderId="0" xfId="0" applyFont="1"/>
    <xf numFmtId="0" fontId="54" fillId="0" borderId="0" xfId="0" applyFont="1"/>
    <xf numFmtId="164" fontId="53" fillId="0" borderId="0" xfId="0" applyNumberFormat="1" applyFont="1"/>
    <xf numFmtId="164" fontId="53" fillId="0" borderId="0" xfId="1" applyNumberFormat="1" applyFont="1"/>
    <xf numFmtId="164" fontId="55" fillId="0" borderId="0" xfId="1" applyNumberFormat="1" applyFont="1"/>
    <xf numFmtId="0" fontId="3" fillId="12" borderId="0" xfId="0" applyFont="1" applyFill="1"/>
    <xf numFmtId="164" fontId="56" fillId="0" borderId="0" xfId="1" applyNumberFormat="1" applyFont="1"/>
    <xf numFmtId="164" fontId="23" fillId="0" borderId="0" xfId="1" applyNumberFormat="1" applyFont="1"/>
    <xf numFmtId="164" fontId="57" fillId="0" borderId="0" xfId="1" applyNumberFormat="1" applyFont="1"/>
    <xf numFmtId="0" fontId="58" fillId="0" borderId="0" xfId="0" applyFont="1"/>
    <xf numFmtId="0" fontId="45" fillId="12" borderId="0" xfId="0" applyFont="1" applyFill="1"/>
    <xf numFmtId="164" fontId="55" fillId="12" borderId="0" xfId="1" applyNumberFormat="1" applyFont="1" applyFill="1"/>
    <xf numFmtId="164" fontId="56" fillId="12" borderId="0" xfId="1" applyNumberFormat="1" applyFont="1" applyFill="1"/>
    <xf numFmtId="164" fontId="23" fillId="12" borderId="0" xfId="1" applyNumberFormat="1" applyFont="1" applyFill="1"/>
    <xf numFmtId="0" fontId="54" fillId="12" borderId="0" xfId="0" applyFont="1" applyFill="1"/>
    <xf numFmtId="164" fontId="42" fillId="0" borderId="0" xfId="1" applyNumberFormat="1" applyFont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41" fillId="11" borderId="1" xfId="0" applyFont="1" applyFill="1" applyBorder="1" applyAlignment="1">
      <alignment horizontal="center" vertical="center" wrapText="1"/>
    </xf>
    <xf numFmtId="9" fontId="40" fillId="10" borderId="0" xfId="0" applyNumberFormat="1" applyFont="1" applyFill="1" applyBorder="1" applyAlignment="1">
      <alignment horizontal="center" vertical="center" wrapText="1"/>
    </xf>
    <xf numFmtId="164" fontId="52" fillId="15" borderId="0" xfId="0" applyNumberFormat="1" applyFont="1" applyFill="1" applyBorder="1"/>
    <xf numFmtId="2" fontId="49" fillId="14" borderId="0" xfId="0" applyNumberFormat="1" applyFont="1" applyFill="1" applyAlignment="1">
      <alignment horizontal="center"/>
    </xf>
    <xf numFmtId="0" fontId="22" fillId="14" borderId="1" xfId="0" applyFont="1" applyFill="1" applyBorder="1" applyAlignment="1">
      <alignment horizontal="left" vertical="center" wrapText="1"/>
    </xf>
    <xf numFmtId="2" fontId="59" fillId="14" borderId="0" xfId="0" applyNumberFormat="1" applyFont="1" applyFill="1" applyAlignment="1">
      <alignment horizontal="center"/>
    </xf>
    <xf numFmtId="0" fontId="60" fillId="14" borderId="1" xfId="4" applyFont="1" applyFill="1" applyBorder="1" applyAlignment="1">
      <alignment horizontal="left" vertical="center" wrapText="1"/>
    </xf>
    <xf numFmtId="0" fontId="14" fillId="11" borderId="2" xfId="0" applyFont="1" applyFill="1" applyBorder="1" applyAlignment="1">
      <alignment horizontal="center" vertical="center" wrapText="1"/>
    </xf>
    <xf numFmtId="2" fontId="45" fillId="0" borderId="38" xfId="0" applyNumberFormat="1" applyFont="1" applyBorder="1" applyAlignment="1">
      <alignment horizontal="center"/>
    </xf>
    <xf numFmtId="166" fontId="45" fillId="0" borderId="38" xfId="1" applyNumberFormat="1" applyFont="1" applyBorder="1" applyAlignment="1">
      <alignment horizontal="center"/>
    </xf>
    <xf numFmtId="2" fontId="49" fillId="14" borderId="38" xfId="0" applyNumberFormat="1" applyFont="1" applyFill="1" applyBorder="1" applyAlignment="1">
      <alignment horizontal="center"/>
    </xf>
    <xf numFmtId="2" fontId="59" fillId="14" borderId="38" xfId="0" applyNumberFormat="1" applyFont="1" applyFill="1" applyBorder="1" applyAlignment="1">
      <alignment horizontal="center"/>
    </xf>
    <xf numFmtId="0" fontId="41" fillId="11" borderId="38" xfId="0" applyFont="1" applyFill="1" applyBorder="1" applyAlignment="1">
      <alignment horizontal="center" vertical="center" wrapText="1"/>
    </xf>
    <xf numFmtId="0" fontId="14" fillId="11" borderId="38" xfId="0" applyFont="1" applyFill="1" applyBorder="1" applyAlignment="1">
      <alignment horizontal="center" vertical="center" wrapText="1"/>
    </xf>
    <xf numFmtId="9" fontId="40" fillId="10" borderId="38" xfId="0" applyNumberFormat="1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39" fillId="2" borderId="38" xfId="0" applyFont="1" applyFill="1" applyBorder="1" applyAlignment="1">
      <alignment horizontal="left" vertical="center" wrapText="1" indent="1"/>
    </xf>
    <xf numFmtId="0" fontId="8" fillId="2" borderId="38" xfId="0" applyFont="1" applyFill="1" applyBorder="1" applyAlignment="1">
      <alignment horizontal="center" vertical="center" wrapText="1"/>
    </xf>
    <xf numFmtId="0" fontId="43" fillId="2" borderId="38" xfId="0" applyFont="1" applyFill="1" applyBorder="1" applyAlignment="1">
      <alignment horizontal="center" vertical="center" wrapText="1"/>
    </xf>
    <xf numFmtId="0" fontId="40" fillId="10" borderId="38" xfId="0" applyFont="1" applyFill="1" applyBorder="1" applyAlignment="1">
      <alignment horizontal="center" vertical="center"/>
    </xf>
    <xf numFmtId="0" fontId="53" fillId="0" borderId="38" xfId="0" applyFont="1" applyBorder="1"/>
    <xf numFmtId="0" fontId="9" fillId="4" borderId="38" xfId="0" applyFont="1" applyFill="1" applyBorder="1" applyAlignment="1">
      <alignment horizontal="left" vertical="center" wrapText="1"/>
    </xf>
    <xf numFmtId="0" fontId="43" fillId="4" borderId="38" xfId="0" applyFont="1" applyFill="1" applyBorder="1" applyAlignment="1">
      <alignment horizontal="center" vertical="center" wrapText="1"/>
    </xf>
    <xf numFmtId="3" fontId="43" fillId="4" borderId="38" xfId="0" applyNumberFormat="1" applyFont="1" applyFill="1" applyBorder="1" applyAlignment="1">
      <alignment horizontal="center" vertical="center" wrapText="1"/>
    </xf>
    <xf numFmtId="164" fontId="24" fillId="0" borderId="38" xfId="1" applyNumberFormat="1" applyFont="1" applyBorder="1"/>
    <xf numFmtId="164" fontId="53" fillId="0" borderId="38" xfId="0" applyNumberFormat="1" applyFont="1" applyBorder="1"/>
    <xf numFmtId="164" fontId="53" fillId="0" borderId="38" xfId="1" applyNumberFormat="1" applyFont="1" applyBorder="1"/>
    <xf numFmtId="164" fontId="55" fillId="0" borderId="38" xfId="1" applyNumberFormat="1" applyFont="1" applyBorder="1"/>
    <xf numFmtId="164" fontId="56" fillId="0" borderId="38" xfId="1" applyNumberFormat="1" applyFont="1" applyBorder="1"/>
    <xf numFmtId="164" fontId="23" fillId="0" borderId="38" xfId="1" applyNumberFormat="1" applyFont="1" applyBorder="1"/>
    <xf numFmtId="0" fontId="9" fillId="2" borderId="38" xfId="0" applyFont="1" applyFill="1" applyBorder="1" applyAlignment="1">
      <alignment horizontal="left" vertical="center" wrapText="1"/>
    </xf>
    <xf numFmtId="3" fontId="43" fillId="2" borderId="38" xfId="0" applyNumberFormat="1" applyFont="1" applyFill="1" applyBorder="1" applyAlignment="1">
      <alignment horizontal="center" vertical="center" wrapText="1"/>
    </xf>
    <xf numFmtId="164" fontId="57" fillId="0" borderId="38" xfId="1" applyNumberFormat="1" applyFont="1" applyBorder="1"/>
    <xf numFmtId="164" fontId="55" fillId="12" borderId="38" xfId="1" applyNumberFormat="1" applyFont="1" applyFill="1" applyBorder="1"/>
    <xf numFmtId="164" fontId="56" fillId="12" borderId="38" xfId="1" applyNumberFormat="1" applyFont="1" applyFill="1" applyBorder="1"/>
    <xf numFmtId="164" fontId="23" fillId="12" borderId="38" xfId="1" applyNumberFormat="1" applyFont="1" applyFill="1" applyBorder="1"/>
    <xf numFmtId="0" fontId="22" fillId="14" borderId="38" xfId="0" applyFont="1" applyFill="1" applyBorder="1" applyAlignment="1">
      <alignment horizontal="left" vertical="center" wrapText="1"/>
    </xf>
    <xf numFmtId="0" fontId="9" fillId="4" borderId="38" xfId="0" applyFont="1" applyFill="1" applyBorder="1" applyAlignment="1">
      <alignment horizontal="left" vertical="center"/>
    </xf>
    <xf numFmtId="0" fontId="43" fillId="4" borderId="38" xfId="0" applyFont="1" applyFill="1" applyBorder="1" applyAlignment="1">
      <alignment horizontal="center" vertical="center"/>
    </xf>
    <xf numFmtId="0" fontId="13" fillId="14" borderId="38" xfId="0" applyFont="1" applyFill="1" applyBorder="1" applyAlignment="1">
      <alignment horizontal="left" vertical="center" wrapText="1"/>
    </xf>
    <xf numFmtId="0" fontId="43" fillId="2" borderId="38" xfId="0" applyFont="1" applyFill="1" applyBorder="1" applyAlignment="1">
      <alignment horizontal="center" vertical="center"/>
    </xf>
    <xf numFmtId="0" fontId="38" fillId="12" borderId="38" xfId="0" applyFont="1" applyFill="1" applyBorder="1" applyAlignment="1">
      <alignment horizontal="left" vertical="center" wrapText="1" indent="1"/>
    </xf>
    <xf numFmtId="0" fontId="8" fillId="12" borderId="38" xfId="0" applyFont="1" applyFill="1" applyBorder="1" applyAlignment="1">
      <alignment horizontal="center" vertical="center" wrapText="1"/>
    </xf>
    <xf numFmtId="0" fontId="11" fillId="12" borderId="38" xfId="0" applyFont="1" applyFill="1" applyBorder="1" applyAlignment="1">
      <alignment horizontal="center" vertical="center" wrapText="1"/>
    </xf>
    <xf numFmtId="0" fontId="9" fillId="4" borderId="38" xfId="4" applyFont="1" applyFill="1" applyBorder="1" applyAlignment="1">
      <alignment horizontal="left" vertical="center" wrapText="1"/>
    </xf>
    <xf numFmtId="0" fontId="43" fillId="4" borderId="38" xfId="4" applyFont="1" applyFill="1" applyBorder="1" applyAlignment="1">
      <alignment horizontal="center" vertical="center" wrapText="1"/>
    </xf>
    <xf numFmtId="0" fontId="9" fillId="2" borderId="38" xfId="4" applyFont="1" applyFill="1" applyBorder="1" applyAlignment="1">
      <alignment horizontal="left" vertical="center" wrapText="1"/>
    </xf>
    <xf numFmtId="0" fontId="43" fillId="2" borderId="38" xfId="4" applyFont="1" applyFill="1" applyBorder="1" applyAlignment="1">
      <alignment horizontal="center" vertical="center" wrapText="1"/>
    </xf>
    <xf numFmtId="0" fontId="60" fillId="14" borderId="38" xfId="4" applyFont="1" applyFill="1" applyBorder="1" applyAlignment="1">
      <alignment horizontal="left" vertical="center" wrapText="1"/>
    </xf>
    <xf numFmtId="0" fontId="43" fillId="2" borderId="38" xfId="4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 wrapText="1"/>
    </xf>
    <xf numFmtId="9" fontId="62" fillId="10" borderId="38" xfId="0" applyNumberFormat="1" applyFont="1" applyFill="1" applyBorder="1" applyAlignment="1">
      <alignment horizontal="center" vertical="center" wrapText="1"/>
    </xf>
    <xf numFmtId="2" fontId="45" fillId="0" borderId="38" xfId="0" applyNumberFormat="1" applyFont="1" applyBorder="1" applyAlignment="1">
      <alignment horizontal="center" vertical="center"/>
    </xf>
    <xf numFmtId="2" fontId="49" fillId="14" borderId="38" xfId="0" applyNumberFormat="1" applyFont="1" applyFill="1" applyBorder="1" applyAlignment="1">
      <alignment horizontal="center" vertical="center"/>
    </xf>
    <xf numFmtId="2" fontId="59" fillId="14" borderId="3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5" fillId="12" borderId="38" xfId="0" applyNumberFormat="1" applyFont="1" applyFill="1" applyBorder="1" applyAlignment="1">
      <alignment horizontal="center" vertical="center"/>
    </xf>
    <xf numFmtId="0" fontId="45" fillId="12" borderId="38" xfId="0" applyFont="1" applyFill="1" applyBorder="1"/>
    <xf numFmtId="164" fontId="52" fillId="12" borderId="38" xfId="0" applyNumberFormat="1" applyFont="1" applyFill="1" applyBorder="1"/>
    <xf numFmtId="166" fontId="45" fillId="12" borderId="38" xfId="1" applyNumberFormat="1" applyFont="1" applyFill="1" applyBorder="1" applyAlignment="1">
      <alignment horizontal="center"/>
    </xf>
    <xf numFmtId="2" fontId="45" fillId="2" borderId="38" xfId="0" applyNumberFormat="1" applyFont="1" applyFill="1" applyBorder="1" applyAlignment="1">
      <alignment horizontal="center" vertical="center"/>
    </xf>
    <xf numFmtId="2" fontId="45" fillId="4" borderId="38" xfId="0" applyNumberFormat="1" applyFont="1" applyFill="1" applyBorder="1" applyAlignment="1">
      <alignment horizontal="center" vertical="center"/>
    </xf>
    <xf numFmtId="166" fontId="45" fillId="4" borderId="38" xfId="1" applyNumberFormat="1" applyFont="1" applyFill="1" applyBorder="1" applyAlignment="1">
      <alignment horizontal="center"/>
    </xf>
    <xf numFmtId="164" fontId="52" fillId="15" borderId="38" xfId="0" applyNumberFormat="1" applyFont="1" applyFill="1" applyBorder="1" applyAlignment="1">
      <alignment vertical="center"/>
    </xf>
    <xf numFmtId="164" fontId="52" fillId="15" borderId="38" xfId="0" applyNumberFormat="1" applyFont="1" applyFill="1" applyBorder="1" applyAlignment="1">
      <alignment horizontal="center" vertical="center"/>
    </xf>
    <xf numFmtId="166" fontId="45" fillId="2" borderId="38" xfId="1" applyNumberFormat="1" applyFont="1" applyFill="1" applyBorder="1" applyAlignment="1">
      <alignment horizontal="center" vertical="center"/>
    </xf>
    <xf numFmtId="166" fontId="45" fillId="4" borderId="38" xfId="1" applyNumberFormat="1" applyFont="1" applyFill="1" applyBorder="1" applyAlignment="1">
      <alignment horizontal="center" vertical="center"/>
    </xf>
    <xf numFmtId="166" fontId="45" fillId="0" borderId="38" xfId="1" applyNumberFormat="1" applyFont="1" applyBorder="1" applyAlignment="1">
      <alignment horizontal="center" vertical="center"/>
    </xf>
    <xf numFmtId="0" fontId="43" fillId="4" borderId="38" xfId="4" applyFont="1" applyFill="1" applyBorder="1" applyAlignment="1">
      <alignment horizontal="center" vertical="center"/>
    </xf>
    <xf numFmtId="0" fontId="61" fillId="14" borderId="3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1" fillId="11" borderId="1" xfId="0" applyFont="1" applyFill="1" applyBorder="1" applyAlignment="1">
      <alignment horizontal="center" vertical="center" wrapText="1"/>
    </xf>
    <xf numFmtId="2" fontId="45" fillId="12" borderId="0" xfId="0" applyNumberFormat="1" applyFont="1" applyFill="1" applyAlignment="1">
      <alignment horizontal="center"/>
    </xf>
    <xf numFmtId="2" fontId="49" fillId="12" borderId="0" xfId="0" applyNumberFormat="1" applyFont="1" applyFill="1" applyAlignment="1">
      <alignment horizontal="center"/>
    </xf>
    <xf numFmtId="0" fontId="5" fillId="11" borderId="60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43" fillId="12" borderId="1" xfId="0" applyFont="1" applyFill="1" applyBorder="1" applyAlignment="1">
      <alignment horizontal="center" vertical="center" wrapText="1"/>
    </xf>
    <xf numFmtId="3" fontId="43" fillId="12" borderId="1" xfId="0" applyNumberFormat="1" applyFont="1" applyFill="1" applyBorder="1" applyAlignment="1">
      <alignment horizontal="center" vertical="center" wrapText="1"/>
    </xf>
    <xf numFmtId="164" fontId="24" fillId="12" borderId="0" xfId="1" applyNumberFormat="1" applyFont="1" applyFill="1"/>
    <xf numFmtId="166" fontId="45" fillId="12" borderId="0" xfId="1" applyNumberFormat="1" applyFont="1" applyFill="1" applyAlignment="1">
      <alignment horizontal="center"/>
    </xf>
    <xf numFmtId="164" fontId="52" fillId="12" borderId="0" xfId="0" applyNumberFormat="1" applyFont="1" applyFill="1" applyBorder="1"/>
    <xf numFmtId="164" fontId="53" fillId="12" borderId="0" xfId="0" applyNumberFormat="1" applyFont="1" applyFill="1"/>
    <xf numFmtId="164" fontId="53" fillId="12" borderId="0" xfId="1" applyNumberFormat="1" applyFont="1" applyFill="1"/>
    <xf numFmtId="0" fontId="9" fillId="2" borderId="1" xfId="0" applyFont="1" applyFill="1" applyBorder="1" applyAlignment="1">
      <alignment horizontal="left" vertical="center" wrapText="1"/>
    </xf>
    <xf numFmtId="0" fontId="41" fillId="11" borderId="1" xfId="0" applyFont="1" applyFill="1" applyBorder="1" applyAlignment="1">
      <alignment horizontal="center" vertical="center" wrapText="1"/>
    </xf>
    <xf numFmtId="9" fontId="64" fillId="10" borderId="0" xfId="0" applyNumberFormat="1" applyFont="1" applyFill="1" applyBorder="1" applyAlignment="1">
      <alignment horizontal="center" vertical="center" wrapText="1"/>
    </xf>
    <xf numFmtId="2" fontId="49" fillId="0" borderId="0" xfId="0" applyNumberFormat="1" applyFont="1" applyAlignment="1">
      <alignment horizontal="center"/>
    </xf>
    <xf numFmtId="0" fontId="22" fillId="2" borderId="1" xfId="0" applyFont="1" applyFill="1" applyBorder="1" applyAlignment="1">
      <alignment horizontal="left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49" fillId="0" borderId="0" xfId="0" applyFont="1"/>
    <xf numFmtId="164" fontId="22" fillId="0" borderId="0" xfId="1" applyNumberFormat="1" applyFont="1"/>
    <xf numFmtId="166" fontId="49" fillId="0" borderId="0" xfId="1" applyNumberFormat="1" applyFont="1" applyAlignment="1">
      <alignment horizontal="center"/>
    </xf>
    <xf numFmtId="164" fontId="49" fillId="15" borderId="38" xfId="0" applyNumberFormat="1" applyFont="1" applyFill="1" applyBorder="1"/>
    <xf numFmtId="164" fontId="49" fillId="15" borderId="0" xfId="0" applyNumberFormat="1" applyFont="1" applyFill="1" applyBorder="1"/>
    <xf numFmtId="0" fontId="9" fillId="2" borderId="1" xfId="0" applyFont="1" applyFill="1" applyBorder="1" applyAlignment="1">
      <alignment horizontal="left" vertical="center" wrapText="1"/>
    </xf>
    <xf numFmtId="164" fontId="52" fillId="15" borderId="61" xfId="0" applyNumberFormat="1" applyFont="1" applyFill="1" applyBorder="1"/>
    <xf numFmtId="0" fontId="65" fillId="4" borderId="1" xfId="0" applyFont="1" applyFill="1" applyBorder="1" applyAlignment="1">
      <alignment horizontal="center" vertical="center" wrapText="1"/>
    </xf>
    <xf numFmtId="3" fontId="65" fillId="4" borderId="1" xfId="0" applyNumberFormat="1" applyFont="1" applyFill="1" applyBorder="1" applyAlignment="1">
      <alignment horizontal="center" vertical="center" wrapText="1"/>
    </xf>
    <xf numFmtId="2" fontId="66" fillId="0" borderId="38" xfId="0" applyNumberFormat="1" applyFont="1" applyBorder="1" applyAlignment="1">
      <alignment horizontal="center" vertical="center"/>
    </xf>
    <xf numFmtId="166" fontId="66" fillId="0" borderId="38" xfId="1" applyNumberFormat="1" applyFont="1" applyBorder="1" applyAlignment="1">
      <alignment horizontal="center" vertical="center"/>
    </xf>
    <xf numFmtId="164" fontId="67" fillId="15" borderId="38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horizontal="center" vertical="center" wrapText="1"/>
    </xf>
    <xf numFmtId="3" fontId="65" fillId="2" borderId="1" xfId="0" applyNumberFormat="1" applyFont="1" applyFill="1" applyBorder="1" applyAlignment="1">
      <alignment horizontal="center" vertical="center" wrapText="1"/>
    </xf>
    <xf numFmtId="2" fontId="68" fillId="14" borderId="38" xfId="0" applyNumberFormat="1" applyFont="1" applyFill="1" applyBorder="1" applyAlignment="1">
      <alignment horizontal="center" vertical="center"/>
    </xf>
    <xf numFmtId="0" fontId="65" fillId="4" borderId="1" xfId="4" applyFont="1" applyFill="1" applyBorder="1" applyAlignment="1">
      <alignment horizontal="center" vertical="center" wrapText="1"/>
    </xf>
    <xf numFmtId="2" fontId="66" fillId="12" borderId="38" xfId="0" applyNumberFormat="1" applyFont="1" applyFill="1" applyBorder="1" applyAlignment="1">
      <alignment horizontal="center" vertical="center"/>
    </xf>
    <xf numFmtId="0" fontId="65" fillId="2" borderId="1" xfId="4" applyFont="1" applyFill="1" applyBorder="1" applyAlignment="1">
      <alignment horizontal="center" vertical="center" wrapText="1"/>
    </xf>
    <xf numFmtId="2" fontId="69" fillId="14" borderId="38" xfId="0" applyNumberFormat="1" applyFont="1" applyFill="1" applyBorder="1" applyAlignment="1">
      <alignment horizontal="center" vertical="center"/>
    </xf>
    <xf numFmtId="0" fontId="65" fillId="2" borderId="1" xfId="4" applyFont="1" applyFill="1" applyBorder="1" applyAlignment="1">
      <alignment horizontal="center" vertical="center"/>
    </xf>
    <xf numFmtId="2" fontId="68" fillId="12" borderId="38" xfId="0" applyNumberFormat="1" applyFont="1" applyFill="1" applyBorder="1" applyAlignment="1">
      <alignment horizontal="center" vertical="center"/>
    </xf>
    <xf numFmtId="0" fontId="65" fillId="4" borderId="26" xfId="4" applyFont="1" applyFill="1" applyBorder="1" applyAlignment="1">
      <alignment horizontal="center" vertical="center" wrapText="1"/>
    </xf>
    <xf numFmtId="3" fontId="65" fillId="4" borderId="26" xfId="0" applyNumberFormat="1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left" vertical="center" wrapText="1"/>
    </xf>
    <xf numFmtId="0" fontId="25" fillId="2" borderId="1" xfId="4" applyFont="1" applyFill="1" applyBorder="1" applyAlignment="1">
      <alignment horizontal="left" vertical="center" wrapText="1"/>
    </xf>
    <xf numFmtId="0" fontId="70" fillId="14" borderId="1" xfId="4" applyFont="1" applyFill="1" applyBorder="1" applyAlignment="1">
      <alignment horizontal="left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45" fillId="0" borderId="0" xfId="0" applyFont="1" applyBorder="1"/>
    <xf numFmtId="0" fontId="40" fillId="10" borderId="0" xfId="0" applyFont="1" applyFill="1" applyBorder="1" applyAlignment="1">
      <alignment horizontal="center" vertical="center"/>
    </xf>
    <xf numFmtId="0" fontId="45" fillId="0" borderId="24" xfId="0" applyFont="1" applyBorder="1"/>
    <xf numFmtId="164" fontId="24" fillId="0" borderId="0" xfId="1" applyNumberFormat="1" applyFont="1" applyBorder="1"/>
    <xf numFmtId="2" fontId="45" fillId="12" borderId="0" xfId="0" applyNumberFormat="1" applyFont="1" applyFill="1" applyBorder="1" applyAlignment="1">
      <alignment horizontal="center"/>
    </xf>
    <xf numFmtId="166" fontId="45" fillId="0" borderId="0" xfId="1" applyNumberFormat="1" applyFont="1" applyBorder="1" applyAlignment="1">
      <alignment horizontal="center"/>
    </xf>
    <xf numFmtId="164" fontId="52" fillId="15" borderId="24" xfId="0" applyNumberFormat="1" applyFont="1" applyFill="1" applyBorder="1"/>
    <xf numFmtId="2" fontId="45" fillId="0" borderId="0" xfId="0" applyNumberFormat="1" applyFont="1" applyBorder="1" applyAlignment="1">
      <alignment horizontal="center"/>
    </xf>
    <xf numFmtId="2" fontId="49" fillId="12" borderId="0" xfId="0" applyNumberFormat="1" applyFont="1" applyFill="1" applyBorder="1" applyAlignment="1">
      <alignment horizontal="center"/>
    </xf>
    <xf numFmtId="2" fontId="49" fillId="14" borderId="0" xfId="0" applyNumberFormat="1" applyFont="1" applyFill="1" applyBorder="1" applyAlignment="1">
      <alignment horizontal="center"/>
    </xf>
    <xf numFmtId="0" fontId="66" fillId="0" borderId="0" xfId="0" applyFont="1" applyBorder="1"/>
    <xf numFmtId="164" fontId="67" fillId="15" borderId="47" xfId="0" applyNumberFormat="1" applyFont="1" applyFill="1" applyBorder="1" applyAlignment="1">
      <alignment horizontal="center" vertical="center"/>
    </xf>
    <xf numFmtId="0" fontId="66" fillId="0" borderId="27" xfId="0" applyFont="1" applyBorder="1"/>
    <xf numFmtId="2" fontId="66" fillId="0" borderId="48" xfId="0" applyNumberFormat="1" applyFont="1" applyBorder="1" applyAlignment="1">
      <alignment horizontal="center" vertical="center"/>
    </xf>
    <xf numFmtId="166" fontId="66" fillId="0" borderId="48" xfId="1" applyNumberFormat="1" applyFont="1" applyBorder="1" applyAlignment="1">
      <alignment horizontal="center" vertical="center"/>
    </xf>
    <xf numFmtId="164" fontId="67" fillId="15" borderId="48" xfId="0" applyNumberFormat="1" applyFont="1" applyFill="1" applyBorder="1" applyAlignment="1">
      <alignment horizontal="center" vertical="center"/>
    </xf>
    <xf numFmtId="164" fontId="67" fillId="15" borderId="49" xfId="0" applyNumberFormat="1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5" fillId="11" borderId="63" xfId="0" applyFont="1" applyFill="1" applyBorder="1" applyAlignment="1">
      <alignment horizontal="center" vertical="center" wrapText="1"/>
    </xf>
    <xf numFmtId="0" fontId="46" fillId="11" borderId="63" xfId="0" applyFont="1" applyFill="1" applyBorder="1" applyAlignment="1">
      <alignment horizontal="center" vertical="center" wrapText="1"/>
    </xf>
    <xf numFmtId="9" fontId="64" fillId="10" borderId="64" xfId="0" applyNumberFormat="1" applyFont="1" applyFill="1" applyBorder="1" applyAlignment="1">
      <alignment horizontal="center" vertical="center" wrapText="1"/>
    </xf>
    <xf numFmtId="9" fontId="64" fillId="10" borderId="30" xfId="0" applyNumberFormat="1" applyFont="1" applyFill="1" applyBorder="1" applyAlignment="1">
      <alignment horizontal="center" vertical="center" wrapText="1"/>
    </xf>
    <xf numFmtId="9" fontId="64" fillId="10" borderId="31" xfId="0" applyNumberFormat="1" applyFont="1" applyFill="1" applyBorder="1" applyAlignment="1">
      <alignment horizontal="center"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2" fontId="49" fillId="12" borderId="38" xfId="0" applyNumberFormat="1" applyFont="1" applyFill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164" fontId="24" fillId="0" borderId="38" xfId="1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164" fontId="52" fillId="15" borderId="60" xfId="0" applyNumberFormat="1" applyFont="1" applyFill="1" applyBorder="1" applyAlignment="1">
      <alignment horizontal="center" vertical="center"/>
    </xf>
    <xf numFmtId="0" fontId="38" fillId="2" borderId="42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43" fillId="2" borderId="38" xfId="0" applyNumberFormat="1" applyFont="1" applyFill="1" applyBorder="1" applyAlignment="1">
      <alignment horizontal="center" vertical="center"/>
    </xf>
    <xf numFmtId="167" fontId="43" fillId="2" borderId="38" xfId="0" applyNumberFormat="1" applyFont="1" applyFill="1" applyBorder="1" applyAlignment="1">
      <alignment horizontal="center" vertical="center"/>
    </xf>
    <xf numFmtId="2" fontId="43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left" vertical="center"/>
    </xf>
    <xf numFmtId="0" fontId="43" fillId="12" borderId="1" xfId="0" applyFont="1" applyFill="1" applyBorder="1" applyAlignment="1">
      <alignment horizontal="center" vertical="center"/>
    </xf>
    <xf numFmtId="164" fontId="57" fillId="12" borderId="0" xfId="1" applyNumberFormat="1" applyFont="1" applyFill="1"/>
    <xf numFmtId="164" fontId="24" fillId="12" borderId="0" xfId="0" applyNumberFormat="1" applyFont="1" applyFill="1"/>
    <xf numFmtId="0" fontId="22" fillId="12" borderId="1" xfId="0" applyFont="1" applyFill="1" applyBorder="1" applyAlignment="1">
      <alignment horizontal="left" vertical="center" wrapText="1"/>
    </xf>
    <xf numFmtId="0" fontId="43" fillId="12" borderId="1" xfId="4" applyFont="1" applyFill="1" applyBorder="1" applyAlignment="1">
      <alignment horizontal="center" vertical="center" wrapText="1"/>
    </xf>
    <xf numFmtId="164" fontId="24" fillId="12" borderId="0" xfId="1" applyNumberFormat="1" applyFont="1" applyFill="1" applyAlignment="1">
      <alignment horizontal="center"/>
    </xf>
    <xf numFmtId="164" fontId="52" fillId="12" borderId="38" xfId="0" applyNumberFormat="1" applyFont="1" applyFill="1" applyBorder="1" applyAlignment="1">
      <alignment horizontal="center"/>
    </xf>
    <xf numFmtId="164" fontId="52" fillId="12" borderId="0" xfId="0" applyNumberFormat="1" applyFont="1" applyFill="1" applyBorder="1" applyAlignment="1">
      <alignment horizontal="center"/>
    </xf>
    <xf numFmtId="164" fontId="53" fillId="12" borderId="0" xfId="0" applyNumberFormat="1" applyFont="1" applyFill="1" applyAlignment="1">
      <alignment horizontal="center"/>
    </xf>
    <xf numFmtId="164" fontId="53" fillId="0" borderId="0" xfId="1" applyNumberFormat="1" applyFont="1" applyAlignment="1">
      <alignment horizontal="center"/>
    </xf>
    <xf numFmtId="164" fontId="57" fillId="12" borderId="0" xfId="1" applyNumberFormat="1" applyFont="1" applyFill="1" applyAlignment="1">
      <alignment horizontal="center"/>
    </xf>
    <xf numFmtId="164" fontId="53" fillId="12" borderId="0" xfId="1" applyNumberFormat="1" applyFont="1" applyFill="1" applyAlignment="1">
      <alignment horizontal="center"/>
    </xf>
    <xf numFmtId="164" fontId="55" fillId="12" borderId="0" xfId="1" applyNumberFormat="1" applyFont="1" applyFill="1" applyAlignment="1">
      <alignment horizontal="center"/>
    </xf>
    <xf numFmtId="164" fontId="56" fillId="12" borderId="0" xfId="1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164" fontId="24" fillId="12" borderId="0" xfId="0" applyNumberFormat="1" applyFont="1" applyFill="1" applyAlignment="1">
      <alignment horizontal="center"/>
    </xf>
    <xf numFmtId="164" fontId="54" fillId="12" borderId="0" xfId="0" applyNumberFormat="1" applyFont="1" applyFill="1"/>
    <xf numFmtId="0" fontId="45" fillId="12" borderId="0" xfId="0" applyFont="1" applyFill="1" applyAlignment="1">
      <alignment horizontal="center" vertical="center"/>
    </xf>
    <xf numFmtId="164" fontId="71" fillId="0" borderId="0" xfId="0" applyNumberFormat="1" applyFont="1"/>
    <xf numFmtId="164" fontId="71" fillId="0" borderId="0" xfId="1" applyNumberFormat="1" applyFont="1"/>
    <xf numFmtId="164" fontId="31" fillId="0" borderId="0" xfId="1" applyNumberFormat="1" applyFont="1"/>
    <xf numFmtId="164" fontId="72" fillId="0" borderId="0" xfId="1" applyNumberFormat="1" applyFont="1"/>
    <xf numFmtId="164" fontId="28" fillId="0" borderId="0" xfId="1" applyNumberFormat="1" applyFont="1"/>
    <xf numFmtId="164" fontId="29" fillId="0" borderId="0" xfId="1" applyNumberFormat="1" applyFont="1"/>
    <xf numFmtId="0" fontId="9" fillId="2" borderId="1" xfId="0" applyFont="1" applyFill="1" applyBorder="1" applyAlignment="1">
      <alignment horizontal="left"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46" fillId="11" borderId="63" xfId="0" applyFont="1" applyFill="1" applyBorder="1" applyAlignment="1">
      <alignment horizontal="center" vertical="center" wrapText="1"/>
    </xf>
    <xf numFmtId="0" fontId="7" fillId="0" borderId="0" xfId="0" applyFont="1"/>
    <xf numFmtId="3" fontId="65" fillId="2" borderId="43" xfId="0" applyNumberFormat="1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/>
    </xf>
    <xf numFmtId="0" fontId="65" fillId="2" borderId="26" xfId="4" applyFont="1" applyFill="1" applyBorder="1" applyAlignment="1">
      <alignment horizontal="center" vertical="center" wrapText="1"/>
    </xf>
    <xf numFmtId="3" fontId="65" fillId="2" borderId="26" xfId="0" applyNumberFormat="1" applyFont="1" applyFill="1" applyBorder="1" applyAlignment="1">
      <alignment horizontal="center" vertical="center" wrapText="1"/>
    </xf>
    <xf numFmtId="3" fontId="65" fillId="2" borderId="57" xfId="0" applyNumberFormat="1" applyFont="1" applyFill="1" applyBorder="1" applyAlignment="1">
      <alignment horizontal="center" vertical="center" wrapText="1"/>
    </xf>
    <xf numFmtId="2" fontId="65" fillId="2" borderId="38" xfId="0" applyNumberFormat="1" applyFont="1" applyFill="1" applyBorder="1" applyAlignment="1">
      <alignment horizontal="center" vertical="center"/>
    </xf>
    <xf numFmtId="166" fontId="66" fillId="0" borderId="0" xfId="1" applyNumberFormat="1" applyFont="1" applyBorder="1" applyAlignment="1">
      <alignment horizontal="center" vertical="center"/>
    </xf>
    <xf numFmtId="166" fontId="65" fillId="0" borderId="0" xfId="1" applyNumberFormat="1" applyFont="1" applyBorder="1" applyAlignment="1">
      <alignment horizontal="center" vertical="center"/>
    </xf>
    <xf numFmtId="166" fontId="65" fillId="12" borderId="0" xfId="1" applyNumberFormat="1" applyFont="1" applyFill="1" applyBorder="1" applyAlignment="1">
      <alignment horizontal="center" vertical="center"/>
    </xf>
    <xf numFmtId="2" fontId="65" fillId="0" borderId="38" xfId="0" applyNumberFormat="1" applyFont="1" applyBorder="1" applyAlignment="1">
      <alignment horizontal="center" vertical="center"/>
    </xf>
    <xf numFmtId="2" fontId="65" fillId="2" borderId="48" xfId="0" applyNumberFormat="1" applyFont="1" applyFill="1" applyBorder="1" applyAlignment="1">
      <alignment horizontal="center" vertical="center"/>
    </xf>
    <xf numFmtId="166" fontId="65" fillId="0" borderId="27" xfId="1" applyNumberFormat="1" applyFont="1" applyBorder="1" applyAlignment="1">
      <alignment horizontal="center" vertical="center"/>
    </xf>
    <xf numFmtId="164" fontId="65" fillId="15" borderId="38" xfId="0" applyNumberFormat="1" applyFont="1" applyFill="1" applyBorder="1" applyAlignment="1">
      <alignment horizontal="center" vertical="center"/>
    </xf>
    <xf numFmtId="0" fontId="65" fillId="12" borderId="0" xfId="0" applyFont="1" applyFill="1" applyBorder="1" applyAlignment="1">
      <alignment horizontal="center" vertical="center"/>
    </xf>
    <xf numFmtId="164" fontId="65" fillId="15" borderId="47" xfId="0" applyNumberFormat="1" applyFont="1" applyFill="1" applyBorder="1" applyAlignment="1">
      <alignment horizontal="center" vertical="center"/>
    </xf>
    <xf numFmtId="164" fontId="65" fillId="15" borderId="48" xfId="0" applyNumberFormat="1" applyFont="1" applyFill="1" applyBorder="1" applyAlignment="1">
      <alignment horizontal="center" vertical="center"/>
    </xf>
    <xf numFmtId="164" fontId="65" fillId="15" borderId="49" xfId="0" applyNumberFormat="1" applyFont="1" applyFill="1" applyBorder="1" applyAlignment="1">
      <alignment horizontal="center" vertical="center"/>
    </xf>
    <xf numFmtId="0" fontId="39" fillId="11" borderId="63" xfId="0" applyFont="1" applyFill="1" applyBorder="1" applyAlignment="1">
      <alignment horizontal="center" vertical="center" wrapText="1"/>
    </xf>
    <xf numFmtId="0" fontId="45" fillId="0" borderId="65" xfId="0" applyFont="1" applyBorder="1"/>
    <xf numFmtId="0" fontId="66" fillId="2" borderId="66" xfId="0" applyFont="1" applyFill="1" applyBorder="1" applyAlignment="1">
      <alignment horizontal="center" vertical="center"/>
    </xf>
    <xf numFmtId="0" fontId="43" fillId="2" borderId="67" xfId="0" applyFont="1" applyFill="1" applyBorder="1" applyAlignment="1">
      <alignment horizontal="center" vertical="center" wrapText="1"/>
    </xf>
    <xf numFmtId="0" fontId="65" fillId="2" borderId="26" xfId="0" applyFont="1" applyFill="1" applyBorder="1" applyAlignment="1">
      <alignment horizontal="center" vertical="center"/>
    </xf>
    <xf numFmtId="0" fontId="41" fillId="12" borderId="42" xfId="0" applyFont="1" applyFill="1" applyBorder="1" applyAlignment="1">
      <alignment horizontal="left" vertical="center" wrapText="1" indent="1"/>
    </xf>
    <xf numFmtId="0" fontId="41" fillId="12" borderId="2" xfId="0" applyFont="1" applyFill="1" applyBorder="1" applyAlignment="1">
      <alignment horizontal="center" vertical="center" wrapText="1"/>
    </xf>
    <xf numFmtId="0" fontId="65" fillId="12" borderId="2" xfId="0" applyFont="1" applyFill="1" applyBorder="1" applyAlignment="1">
      <alignment horizontal="center" vertical="center" wrapText="1"/>
    </xf>
    <xf numFmtId="0" fontId="65" fillId="12" borderId="6" xfId="0" applyFont="1" applyFill="1" applyBorder="1" applyAlignment="1">
      <alignment horizontal="center" vertical="center" wrapText="1"/>
    </xf>
    <xf numFmtId="2" fontId="65" fillId="12" borderId="60" xfId="0" applyNumberFormat="1" applyFont="1" applyFill="1" applyBorder="1" applyAlignment="1">
      <alignment horizontal="center" vertical="center"/>
    </xf>
    <xf numFmtId="164" fontId="65" fillId="12" borderId="60" xfId="0" applyNumberFormat="1" applyFont="1" applyFill="1" applyBorder="1" applyAlignment="1">
      <alignment horizontal="center" vertical="center"/>
    </xf>
    <xf numFmtId="164" fontId="65" fillId="12" borderId="68" xfId="0" applyNumberFormat="1" applyFont="1" applyFill="1" applyBorder="1" applyAlignment="1">
      <alignment horizontal="center" vertical="center"/>
    </xf>
    <xf numFmtId="0" fontId="46" fillId="11" borderId="63" xfId="0" applyFont="1" applyFill="1" applyBorder="1" applyAlignment="1">
      <alignment horizontal="center" vertical="center" wrapText="1"/>
    </xf>
    <xf numFmtId="0" fontId="39" fillId="2" borderId="32" xfId="0" applyFont="1" applyFill="1" applyBorder="1" applyAlignment="1">
      <alignment horizontal="left" vertical="center" wrapText="1" indent="1"/>
    </xf>
    <xf numFmtId="0" fontId="41" fillId="2" borderId="42" xfId="0" applyFont="1" applyFill="1" applyBorder="1" applyAlignment="1">
      <alignment horizontal="left" vertical="center" wrapText="1" indent="1"/>
    </xf>
    <xf numFmtId="0" fontId="41" fillId="2" borderId="2" xfId="0" applyFont="1" applyFill="1" applyBorder="1" applyAlignment="1">
      <alignment horizontal="center" vertical="center" wrapText="1"/>
    </xf>
    <xf numFmtId="0" fontId="65" fillId="2" borderId="2" xfId="0" applyFont="1" applyFill="1" applyBorder="1" applyAlignment="1">
      <alignment horizontal="center" vertical="center" wrapText="1"/>
    </xf>
    <xf numFmtId="0" fontId="65" fillId="2" borderId="6" xfId="0" applyFont="1" applyFill="1" applyBorder="1" applyAlignment="1">
      <alignment horizontal="center" vertical="center" wrapText="1"/>
    </xf>
    <xf numFmtId="2" fontId="65" fillId="2" borderId="60" xfId="0" applyNumberFormat="1" applyFont="1" applyFill="1" applyBorder="1" applyAlignment="1">
      <alignment horizontal="center" vertical="center"/>
    </xf>
    <xf numFmtId="0" fontId="0" fillId="2" borderId="0" xfId="0" applyFill="1"/>
    <xf numFmtId="0" fontId="45" fillId="2" borderId="0" xfId="0" applyFont="1" applyFill="1"/>
    <xf numFmtId="0" fontId="46" fillId="11" borderId="30" xfId="0" applyFont="1" applyFill="1" applyBorder="1" applyAlignment="1">
      <alignment horizontal="center" vertical="center" wrapText="1"/>
    </xf>
    <xf numFmtId="2" fontId="65" fillId="2" borderId="0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/>
    </xf>
    <xf numFmtId="0" fontId="46" fillId="11" borderId="63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left" vertical="center" wrapText="1"/>
    </xf>
    <xf numFmtId="0" fontId="30" fillId="12" borderId="0" xfId="0" applyFont="1" applyFill="1"/>
    <xf numFmtId="2" fontId="65" fillId="2" borderId="1" xfId="0" applyNumberFormat="1" applyFont="1" applyFill="1" applyBorder="1" applyAlignment="1">
      <alignment horizontal="center" vertical="center" wrapText="1"/>
    </xf>
    <xf numFmtId="0" fontId="5" fillId="11" borderId="71" xfId="0" applyFont="1" applyFill="1" applyBorder="1" applyAlignment="1">
      <alignment horizontal="center" vertical="center" wrapText="1"/>
    </xf>
    <xf numFmtId="9" fontId="62" fillId="10" borderId="39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left" vertical="center" wrapText="1"/>
    </xf>
    <xf numFmtId="3" fontId="19" fillId="2" borderId="12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2" fontId="19" fillId="2" borderId="69" xfId="0" applyNumberFormat="1" applyFont="1" applyFill="1" applyBorder="1" applyAlignment="1">
      <alignment horizontal="center" vertical="center"/>
    </xf>
    <xf numFmtId="164" fontId="19" fillId="15" borderId="69" xfId="0" applyNumberFormat="1" applyFont="1" applyFill="1" applyBorder="1" applyAlignment="1">
      <alignment horizontal="center" vertical="center"/>
    </xf>
    <xf numFmtId="164" fontId="19" fillId="15" borderId="70" xfId="0" applyNumberFormat="1" applyFont="1" applyFill="1" applyBorder="1" applyAlignment="1">
      <alignment horizontal="center" vertical="center"/>
    </xf>
    <xf numFmtId="3" fontId="19" fillId="2" borderId="43" xfId="0" applyNumberFormat="1" applyFont="1" applyFill="1" applyBorder="1" applyAlignment="1">
      <alignment horizontal="center" vertical="center" wrapText="1"/>
    </xf>
    <xf numFmtId="2" fontId="19" fillId="2" borderId="38" xfId="0" applyNumberFormat="1" applyFont="1" applyFill="1" applyBorder="1" applyAlignment="1">
      <alignment horizontal="center" vertical="center"/>
    </xf>
    <xf numFmtId="2" fontId="19" fillId="0" borderId="38" xfId="0" applyNumberFormat="1" applyFont="1" applyBorder="1" applyAlignment="1">
      <alignment horizontal="center" vertical="center"/>
    </xf>
    <xf numFmtId="0" fontId="30" fillId="12" borderId="0" xfId="0" applyFont="1" applyFill="1" applyAlignment="1">
      <alignment horizontal="center"/>
    </xf>
    <xf numFmtId="0" fontId="19" fillId="2" borderId="26" xfId="4" applyFont="1" applyFill="1" applyBorder="1" applyAlignment="1">
      <alignment horizontal="center" vertical="center" wrapText="1"/>
    </xf>
    <xf numFmtId="3" fontId="19" fillId="2" borderId="26" xfId="0" applyNumberFormat="1" applyFont="1" applyFill="1" applyBorder="1" applyAlignment="1">
      <alignment horizontal="center" vertical="center" wrapText="1"/>
    </xf>
    <xf numFmtId="3" fontId="19" fillId="2" borderId="57" xfId="0" applyNumberFormat="1" applyFont="1" applyFill="1" applyBorder="1" applyAlignment="1">
      <alignment horizontal="center" vertical="center" wrapText="1"/>
    </xf>
    <xf numFmtId="2" fontId="19" fillId="2" borderId="48" xfId="0" applyNumberFormat="1" applyFont="1" applyFill="1" applyBorder="1" applyAlignment="1">
      <alignment horizontal="center" vertical="center"/>
    </xf>
    <xf numFmtId="164" fontId="19" fillId="15" borderId="72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indent="1"/>
    </xf>
    <xf numFmtId="0" fontId="19" fillId="0" borderId="0" xfId="0" applyFont="1"/>
    <xf numFmtId="0" fontId="19" fillId="2" borderId="32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164" fontId="19" fillId="15" borderId="73" xfId="0" applyNumberFormat="1" applyFont="1" applyFill="1" applyBorder="1" applyAlignment="1">
      <alignment horizontal="center" vertical="center"/>
    </xf>
    <xf numFmtId="0" fontId="53" fillId="18" borderId="74" xfId="0" applyFont="1" applyFill="1" applyBorder="1" applyAlignment="1">
      <alignment horizontal="left" vertical="center"/>
    </xf>
    <xf numFmtId="0" fontId="53" fillId="18" borderId="40" xfId="0" applyFont="1" applyFill="1" applyBorder="1" applyAlignment="1">
      <alignment horizontal="left" vertical="center"/>
    </xf>
    <xf numFmtId="0" fontId="53" fillId="17" borderId="3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left" vertical="center"/>
    </xf>
    <xf numFmtId="9" fontId="11" fillId="2" borderId="1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9" fontId="10" fillId="2" borderId="11" xfId="0" applyNumberFormat="1" applyFont="1" applyFill="1" applyBorder="1" applyAlignment="1">
      <alignment horizontal="center" vertical="center" wrapText="1"/>
    </xf>
    <xf numFmtId="9" fontId="10" fillId="2" borderId="12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47" fillId="2" borderId="0" xfId="3" applyFont="1" applyFill="1" applyBorder="1" applyAlignment="1">
      <alignment horizontal="center" vertical="center" wrapText="1"/>
    </xf>
    <xf numFmtId="0" fontId="41" fillId="11" borderId="54" xfId="0" applyFont="1" applyFill="1" applyBorder="1" applyAlignment="1">
      <alignment horizontal="center" vertical="center" wrapText="1"/>
    </xf>
    <xf numFmtId="0" fontId="41" fillId="11" borderId="3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left" vertical="center" wrapText="1" indent="1"/>
    </xf>
    <xf numFmtId="0" fontId="43" fillId="2" borderId="42" xfId="0" applyFont="1" applyFill="1" applyBorder="1" applyAlignment="1">
      <alignment horizontal="left" vertical="center" wrapText="1" indent="1"/>
    </xf>
    <xf numFmtId="0" fontId="43" fillId="2" borderId="32" xfId="0" applyFont="1" applyFill="1" applyBorder="1" applyAlignment="1">
      <alignment horizontal="left" vertical="center" wrapText="1" indent="1"/>
    </xf>
    <xf numFmtId="0" fontId="43" fillId="2" borderId="23" xfId="0" applyFont="1" applyFill="1" applyBorder="1" applyAlignment="1">
      <alignment horizontal="left" vertical="center" wrapText="1" indent="1"/>
    </xf>
    <xf numFmtId="0" fontId="43" fillId="2" borderId="25" xfId="0" applyFont="1" applyFill="1" applyBorder="1" applyAlignment="1">
      <alignment horizontal="left" vertical="center"/>
    </xf>
    <xf numFmtId="0" fontId="43" fillId="2" borderId="26" xfId="0" applyFont="1" applyFill="1" applyBorder="1" applyAlignment="1">
      <alignment horizontal="left" vertical="center"/>
    </xf>
    <xf numFmtId="9" fontId="20" fillId="2" borderId="1" xfId="0" applyNumberFormat="1" applyFont="1" applyFill="1" applyBorder="1" applyAlignment="1">
      <alignment horizontal="center" vertical="center" wrapText="1"/>
    </xf>
    <xf numFmtId="9" fontId="12" fillId="2" borderId="11" xfId="0" applyNumberFormat="1" applyFont="1" applyFill="1" applyBorder="1" applyAlignment="1">
      <alignment horizontal="center" vertical="center" wrapText="1"/>
    </xf>
    <xf numFmtId="9" fontId="12" fillId="2" borderId="12" xfId="0" applyNumberFormat="1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/>
    </xf>
    <xf numFmtId="0" fontId="43" fillId="2" borderId="42" xfId="0" applyFont="1" applyFill="1" applyBorder="1" applyAlignment="1">
      <alignment horizontal="center" vertical="center"/>
    </xf>
    <xf numFmtId="0" fontId="43" fillId="2" borderId="3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left" vertical="center" wrapText="1" indent="1"/>
    </xf>
    <xf numFmtId="0" fontId="37" fillId="2" borderId="11" xfId="4" applyFont="1" applyFill="1" applyBorder="1" applyAlignment="1">
      <alignment horizontal="left" vertical="center" wrapText="1" indent="1"/>
    </xf>
    <xf numFmtId="0" fontId="37" fillId="2" borderId="12" xfId="4" applyFont="1" applyFill="1" applyBorder="1" applyAlignment="1">
      <alignment horizontal="left" vertical="center" wrapText="1" indent="1"/>
    </xf>
    <xf numFmtId="0" fontId="37" fillId="2" borderId="1" xfId="4" applyFont="1" applyFill="1" applyBorder="1" applyAlignment="1">
      <alignment horizontal="left" vertical="center"/>
    </xf>
    <xf numFmtId="0" fontId="37" fillId="2" borderId="1" xfId="4" applyFont="1" applyFill="1" applyBorder="1" applyAlignment="1">
      <alignment horizontal="left" vertical="center" wrapText="1"/>
    </xf>
    <xf numFmtId="0" fontId="10" fillId="2" borderId="23" xfId="4" applyFont="1" applyFill="1" applyBorder="1" applyAlignment="1">
      <alignment horizontal="left" vertical="center"/>
    </xf>
    <xf numFmtId="0" fontId="10" fillId="2" borderId="1" xfId="4" applyFont="1" applyFill="1" applyBorder="1" applyAlignment="1">
      <alignment horizontal="left" vertical="center"/>
    </xf>
    <xf numFmtId="0" fontId="10" fillId="2" borderId="25" xfId="4" applyFont="1" applyFill="1" applyBorder="1" applyAlignment="1">
      <alignment horizontal="left" vertical="center" wrapText="1"/>
    </xf>
    <xf numFmtId="0" fontId="10" fillId="2" borderId="26" xfId="4" applyFont="1" applyFill="1" applyBorder="1" applyAlignment="1">
      <alignment horizontal="left" vertical="center" wrapText="1"/>
    </xf>
    <xf numFmtId="0" fontId="19" fillId="2" borderId="29" xfId="3" applyFont="1" applyFill="1" applyBorder="1" applyAlignment="1">
      <alignment horizontal="center" vertical="center" wrapText="1"/>
    </xf>
    <xf numFmtId="0" fontId="19" fillId="2" borderId="30" xfId="3" applyFont="1" applyFill="1" applyBorder="1" applyAlignment="1">
      <alignment horizontal="center" vertical="center" wrapText="1"/>
    </xf>
    <xf numFmtId="0" fontId="19" fillId="2" borderId="31" xfId="3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 wrapText="1"/>
    </xf>
    <xf numFmtId="0" fontId="10" fillId="2" borderId="23" xfId="4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41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/>
    </xf>
    <xf numFmtId="0" fontId="50" fillId="2" borderId="0" xfId="3" applyFont="1" applyFill="1" applyBorder="1" applyAlignment="1">
      <alignment horizontal="center" vertical="center" wrapText="1"/>
    </xf>
    <xf numFmtId="0" fontId="8" fillId="11" borderId="44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2" borderId="11" xfId="0" applyFont="1" applyFill="1" applyBorder="1" applyAlignment="1">
      <alignment horizontal="left" vertical="center" wrapText="1" indent="1"/>
    </xf>
    <xf numFmtId="0" fontId="37" fillId="2" borderId="2" xfId="0" applyFont="1" applyFill="1" applyBorder="1" applyAlignment="1">
      <alignment horizontal="left" vertical="center" wrapText="1" indent="1"/>
    </xf>
    <xf numFmtId="0" fontId="37" fillId="2" borderId="12" xfId="0" applyFont="1" applyFill="1" applyBorder="1" applyAlignment="1">
      <alignment horizontal="left" vertical="center" wrapText="1" indent="1"/>
    </xf>
    <xf numFmtId="0" fontId="37" fillId="2" borderId="50" xfId="4" applyFont="1" applyFill="1" applyBorder="1" applyAlignment="1">
      <alignment horizontal="left" vertical="center"/>
    </xf>
    <xf numFmtId="0" fontId="37" fillId="2" borderId="51" xfId="4" applyFont="1" applyFill="1" applyBorder="1" applyAlignment="1">
      <alignment horizontal="left" vertical="center"/>
    </xf>
    <xf numFmtId="0" fontId="37" fillId="2" borderId="52" xfId="4" applyFont="1" applyFill="1" applyBorder="1" applyAlignment="1">
      <alignment horizontal="left" vertical="center"/>
    </xf>
    <xf numFmtId="0" fontId="37" fillId="2" borderId="53" xfId="4" applyFont="1" applyFill="1" applyBorder="1" applyAlignment="1">
      <alignment horizontal="left" vertical="center"/>
    </xf>
    <xf numFmtId="0" fontId="37" fillId="2" borderId="23" xfId="0" applyFont="1" applyFill="1" applyBorder="1" applyAlignment="1">
      <alignment horizontal="left" vertical="center" wrapText="1" indent="1"/>
    </xf>
    <xf numFmtId="0" fontId="37" fillId="2" borderId="41" xfId="4" applyFont="1" applyFill="1" applyBorder="1" applyAlignment="1">
      <alignment horizontal="left" vertical="center" wrapText="1" indent="1"/>
    </xf>
    <xf numFmtId="0" fontId="37" fillId="2" borderId="42" xfId="4" applyFont="1" applyFill="1" applyBorder="1" applyAlignment="1">
      <alignment horizontal="left" vertical="center" wrapText="1" indent="1"/>
    </xf>
    <xf numFmtId="0" fontId="37" fillId="2" borderId="32" xfId="4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left" vertical="center"/>
    </xf>
    <xf numFmtId="0" fontId="41" fillId="11" borderId="1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left" vertical="center" wrapText="1" indent="1"/>
    </xf>
    <xf numFmtId="0" fontId="43" fillId="2" borderId="2" xfId="0" applyFont="1" applyFill="1" applyBorder="1" applyAlignment="1">
      <alignment horizontal="left" vertical="center" wrapText="1" indent="1"/>
    </xf>
    <xf numFmtId="0" fontId="43" fillId="2" borderId="12" xfId="0" applyFont="1" applyFill="1" applyBorder="1" applyAlignment="1">
      <alignment horizontal="left" vertical="center" wrapText="1" indent="1"/>
    </xf>
    <xf numFmtId="0" fontId="43" fillId="2" borderId="1" xfId="0" applyFont="1" applyFill="1" applyBorder="1" applyAlignment="1">
      <alignment horizontal="left" vertical="center" wrapText="1" indent="1"/>
    </xf>
    <xf numFmtId="0" fontId="43" fillId="2" borderId="11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37" fillId="4" borderId="50" xfId="4" applyFont="1" applyFill="1" applyBorder="1" applyAlignment="1">
      <alignment horizontal="left" vertical="center" wrapText="1"/>
    </xf>
    <xf numFmtId="0" fontId="37" fillId="4" borderId="51" xfId="4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 indent="1"/>
    </xf>
    <xf numFmtId="0" fontId="11" fillId="2" borderId="38" xfId="4" applyFont="1" applyFill="1" applyBorder="1" applyAlignment="1">
      <alignment horizontal="left" vertical="center" wrapText="1" indent="1"/>
    </xf>
    <xf numFmtId="0" fontId="22" fillId="14" borderId="38" xfId="0" applyFont="1" applyFill="1" applyBorder="1" applyAlignment="1">
      <alignment horizontal="center" vertical="center" wrapText="1"/>
    </xf>
    <xf numFmtId="0" fontId="37" fillId="4" borderId="38" xfId="4" applyFont="1" applyFill="1" applyBorder="1" applyAlignment="1">
      <alignment horizontal="left" vertical="center" wrapText="1"/>
    </xf>
    <xf numFmtId="0" fontId="22" fillId="14" borderId="38" xfId="0" applyFont="1" applyFill="1" applyBorder="1" applyAlignment="1">
      <alignment horizontal="left" vertical="center"/>
    </xf>
    <xf numFmtId="0" fontId="41" fillId="11" borderId="38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left" vertical="center" wrapText="1" indent="1"/>
    </xf>
    <xf numFmtId="0" fontId="9" fillId="2" borderId="38" xfId="0" applyFont="1" applyFill="1" applyBorder="1" applyAlignment="1">
      <alignment horizontal="left" vertical="center" wrapText="1" indent="1"/>
    </xf>
    <xf numFmtId="0" fontId="25" fillId="2" borderId="3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wrapText="1" indent="1"/>
    </xf>
    <xf numFmtId="0" fontId="5" fillId="2" borderId="38" xfId="4" applyFont="1" applyFill="1" applyBorder="1" applyAlignment="1">
      <alignment horizontal="left" vertical="center" wrapText="1" indent="1"/>
    </xf>
    <xf numFmtId="0" fontId="22" fillId="14" borderId="58" xfId="0" applyFont="1" applyFill="1" applyBorder="1" applyAlignment="1">
      <alignment horizontal="left" vertical="center" wrapText="1"/>
    </xf>
    <xf numFmtId="0" fontId="22" fillId="14" borderId="59" xfId="0" applyFont="1" applyFill="1" applyBorder="1" applyAlignment="1">
      <alignment horizontal="left" vertical="center" wrapText="1"/>
    </xf>
    <xf numFmtId="0" fontId="5" fillId="11" borderId="38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left" vertical="center" wrapText="1" indent="1"/>
    </xf>
    <xf numFmtId="0" fontId="63" fillId="2" borderId="38" xfId="0" applyFont="1" applyFill="1" applyBorder="1" applyAlignment="1">
      <alignment horizontal="center" vertical="center"/>
    </xf>
    <xf numFmtId="0" fontId="22" fillId="14" borderId="43" xfId="0" applyFont="1" applyFill="1" applyBorder="1" applyAlignment="1">
      <alignment horizontal="center" vertical="center" wrapText="1"/>
    </xf>
    <xf numFmtId="0" fontId="22" fillId="14" borderId="53" xfId="0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left" vertical="center"/>
    </xf>
    <xf numFmtId="0" fontId="22" fillId="14" borderId="52" xfId="0" applyFont="1" applyFill="1" applyBorder="1" applyAlignment="1">
      <alignment horizontal="center" vertical="center" wrapText="1"/>
    </xf>
    <xf numFmtId="0" fontId="49" fillId="14" borderId="23" xfId="0" applyFont="1" applyFill="1" applyBorder="1" applyAlignment="1">
      <alignment horizontal="left" vertical="center"/>
    </xf>
    <xf numFmtId="0" fontId="46" fillId="11" borderId="62" xfId="0" applyFont="1" applyFill="1" applyBorder="1" applyAlignment="1">
      <alignment horizontal="center" vertical="center" wrapText="1"/>
    </xf>
    <xf numFmtId="0" fontId="46" fillId="11" borderId="63" xfId="0" applyFont="1" applyFill="1" applyBorder="1" applyAlignment="1">
      <alignment horizontal="center" vertical="center" wrapText="1"/>
    </xf>
    <xf numFmtId="0" fontId="49" fillId="14" borderId="38" xfId="0" applyFont="1" applyFill="1" applyBorder="1" applyAlignment="1">
      <alignment horizontal="left" vertical="center"/>
    </xf>
    <xf numFmtId="0" fontId="43" fillId="2" borderId="38" xfId="0" applyFont="1" applyFill="1" applyBorder="1" applyAlignment="1">
      <alignment horizontal="left" vertical="center" wrapText="1" indent="1"/>
    </xf>
    <xf numFmtId="0" fontId="43" fillId="2" borderId="38" xfId="0" applyFont="1" applyFill="1" applyBorder="1" applyAlignment="1">
      <alignment horizontal="center" vertical="center"/>
    </xf>
    <xf numFmtId="0" fontId="37" fillId="2" borderId="38" xfId="0" applyFont="1" applyFill="1" applyBorder="1" applyAlignment="1">
      <alignment horizontal="left" vertical="center" wrapText="1" indent="1"/>
    </xf>
    <xf numFmtId="0" fontId="37" fillId="2" borderId="38" xfId="4" applyFont="1" applyFill="1" applyBorder="1" applyAlignment="1">
      <alignment horizontal="left" vertical="center" wrapText="1" indent="1"/>
    </xf>
    <xf numFmtId="0" fontId="43" fillId="2" borderId="50" xfId="4" applyFont="1" applyFill="1" applyBorder="1" applyAlignment="1">
      <alignment horizontal="left" vertical="center" wrapText="1"/>
    </xf>
    <xf numFmtId="0" fontId="43" fillId="2" borderId="51" xfId="4" applyFont="1" applyFill="1" applyBorder="1" applyAlignment="1">
      <alignment horizontal="left" vertical="center" wrapText="1"/>
    </xf>
    <xf numFmtId="0" fontId="39" fillId="2" borderId="41" xfId="0" applyFont="1" applyFill="1" applyBorder="1" applyAlignment="1">
      <alignment horizontal="left" vertical="center" wrapText="1" indent="1"/>
    </xf>
    <xf numFmtId="0" fontId="39" fillId="2" borderId="42" xfId="0" applyFont="1" applyFill="1" applyBorder="1" applyAlignment="1">
      <alignment horizontal="left" vertical="center" wrapText="1" indent="1"/>
    </xf>
    <xf numFmtId="0" fontId="39" fillId="2" borderId="32" xfId="0" applyFont="1" applyFill="1" applyBorder="1" applyAlignment="1">
      <alignment horizontal="left" vertical="center" wrapText="1" indent="1"/>
    </xf>
    <xf numFmtId="0" fontId="39" fillId="2" borderId="23" xfId="0" applyFont="1" applyFill="1" applyBorder="1" applyAlignment="1">
      <alignment horizontal="left" vertical="center" wrapText="1" indent="1"/>
    </xf>
    <xf numFmtId="0" fontId="39" fillId="2" borderId="41" xfId="0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center" vertical="center"/>
    </xf>
    <xf numFmtId="0" fontId="39" fillId="2" borderId="25" xfId="0" applyFont="1" applyFill="1" applyBorder="1" applyAlignment="1">
      <alignment horizontal="left" vertical="center"/>
    </xf>
    <xf numFmtId="0" fontId="39" fillId="2" borderId="26" xfId="0" applyFont="1" applyFill="1" applyBorder="1" applyAlignment="1">
      <alignment horizontal="left" vertical="center"/>
    </xf>
    <xf numFmtId="0" fontId="73" fillId="16" borderId="29" xfId="0" applyFont="1" applyFill="1" applyBorder="1" applyAlignment="1">
      <alignment horizontal="center" vertical="center"/>
    </xf>
    <xf numFmtId="0" fontId="73" fillId="16" borderId="30" xfId="0" applyFont="1" applyFill="1" applyBorder="1" applyAlignment="1">
      <alignment horizontal="center" vertical="center"/>
    </xf>
    <xf numFmtId="0" fontId="73" fillId="16" borderId="31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left" vertical="center" wrapText="1" indent="1"/>
    </xf>
    <xf numFmtId="0" fontId="19" fillId="2" borderId="41" xfId="4" applyFont="1" applyFill="1" applyBorder="1" applyAlignment="1">
      <alignment horizontal="left" vertical="center" wrapText="1" indent="1"/>
    </xf>
    <xf numFmtId="0" fontId="19" fillId="2" borderId="42" xfId="4" applyFont="1" applyFill="1" applyBorder="1" applyAlignment="1">
      <alignment horizontal="left" vertical="center" wrapText="1" indent="1"/>
    </xf>
    <xf numFmtId="0" fontId="19" fillId="2" borderId="32" xfId="4" applyFont="1" applyFill="1" applyBorder="1" applyAlignment="1">
      <alignment horizontal="left" vertical="center" wrapText="1" indent="1"/>
    </xf>
    <xf numFmtId="0" fontId="43" fillId="2" borderId="52" xfId="0" applyFont="1" applyFill="1" applyBorder="1" applyAlignment="1">
      <alignment horizontal="left" vertical="center" wrapText="1"/>
    </xf>
    <xf numFmtId="0" fontId="43" fillId="2" borderId="53" xfId="0" applyFont="1" applyFill="1" applyBorder="1" applyAlignment="1">
      <alignment horizontal="left" vertical="center" wrapText="1"/>
    </xf>
    <xf numFmtId="0" fontId="74" fillId="2" borderId="25" xfId="0" applyFont="1" applyFill="1" applyBorder="1" applyAlignment="1">
      <alignment horizontal="left" vertical="center"/>
    </xf>
    <xf numFmtId="0" fontId="74" fillId="2" borderId="26" xfId="0" applyFont="1" applyFill="1" applyBorder="1" applyAlignment="1">
      <alignment horizontal="left" vertical="center"/>
    </xf>
    <xf numFmtId="0" fontId="74" fillId="2" borderId="41" xfId="0" applyFont="1" applyFill="1" applyBorder="1" applyAlignment="1">
      <alignment horizontal="left" vertical="center" wrapText="1" indent="1"/>
    </xf>
    <xf numFmtId="0" fontId="74" fillId="2" borderId="42" xfId="0" applyFont="1" applyFill="1" applyBorder="1" applyAlignment="1">
      <alignment horizontal="left" vertical="center" wrapText="1" indent="1"/>
    </xf>
    <xf numFmtId="0" fontId="74" fillId="2" borderId="32" xfId="0" applyFont="1" applyFill="1" applyBorder="1" applyAlignment="1">
      <alignment horizontal="left" vertical="center" wrapText="1" indent="1"/>
    </xf>
    <xf numFmtId="0" fontId="74" fillId="2" borderId="23" xfId="0" applyFont="1" applyFill="1" applyBorder="1" applyAlignment="1">
      <alignment horizontal="left" vertical="center" wrapText="1" indent="1"/>
    </xf>
    <xf numFmtId="0" fontId="74" fillId="2" borderId="41" xfId="0" applyFont="1" applyFill="1" applyBorder="1" applyAlignment="1">
      <alignment horizontal="left" vertical="center"/>
    </xf>
    <xf numFmtId="0" fontId="74" fillId="2" borderId="42" xfId="0" applyFont="1" applyFill="1" applyBorder="1" applyAlignment="1">
      <alignment horizontal="left" vertical="center"/>
    </xf>
    <xf numFmtId="0" fontId="74" fillId="2" borderId="32" xfId="0" applyFont="1" applyFill="1" applyBorder="1" applyAlignment="1">
      <alignment horizontal="left" vertical="center"/>
    </xf>
    <xf numFmtId="0" fontId="19" fillId="2" borderId="52" xfId="0" applyFont="1" applyFill="1" applyBorder="1" applyAlignment="1">
      <alignment horizontal="left" vertical="center" wrapText="1"/>
    </xf>
    <xf numFmtId="0" fontId="19" fillId="2" borderId="53" xfId="0" applyFont="1" applyFill="1" applyBorder="1" applyAlignment="1">
      <alignment horizontal="left" vertical="center" wrapText="1"/>
    </xf>
    <xf numFmtId="0" fontId="19" fillId="2" borderId="50" xfId="4" applyFont="1" applyFill="1" applyBorder="1" applyAlignment="1">
      <alignment horizontal="left" vertical="center" wrapText="1"/>
    </xf>
    <xf numFmtId="0" fontId="19" fillId="2" borderId="51" xfId="4" applyFont="1" applyFill="1" applyBorder="1" applyAlignment="1">
      <alignment horizontal="left" vertical="center" wrapText="1"/>
    </xf>
    <xf numFmtId="0" fontId="5" fillId="11" borderId="62" xfId="0" applyFont="1" applyFill="1" applyBorder="1" applyAlignment="1">
      <alignment horizontal="center" vertical="center" wrapText="1"/>
    </xf>
    <xf numFmtId="0" fontId="5" fillId="11" borderId="63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left" vertical="center" wrapText="1" indent="1"/>
    </xf>
  </cellXfs>
  <cellStyles count="6">
    <cellStyle name="20% - Accent1" xfId="4"/>
    <cellStyle name="Normal" xfId="0" builtinId="0"/>
    <cellStyle name="Normal 2" xfId="3"/>
    <cellStyle name="Normal 3" xfId="5"/>
    <cellStyle name="Virgül" xfId="1" builtinId="3"/>
    <cellStyle name="Yüzde" xfId="2" builtinId="5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[1]Sayfa9!$B$3:$B$85" noThreeD="1" sel="0" val="0"/>
</file>

<file path=xl/ctrlProps/ctrlProp2.xml><?xml version="1.0" encoding="utf-8"?>
<formControlPr xmlns="http://schemas.microsoft.com/office/spreadsheetml/2009/9/main" objectType="Drop" dropLines="20" dropStyle="combo" dx="16" fmlaLink="'Ücret  '!$C$4" fmlaRange="Tablo!$A$3:$A$83" noThreeD="1" sel="16" val="6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</xdr:row>
          <xdr:rowOff>133350</xdr:rowOff>
        </xdr:from>
        <xdr:to>
          <xdr:col>18</xdr:col>
          <xdr:colOff>314325</xdr:colOff>
          <xdr:row>4</xdr:row>
          <xdr:rowOff>238125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47625</xdr:rowOff>
        </xdr:from>
        <xdr:to>
          <xdr:col>16</xdr:col>
          <xdr:colOff>590550</xdr:colOff>
          <xdr:row>19</xdr:row>
          <xdr:rowOff>47625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</xdr:row>
          <xdr:rowOff>66675</xdr:rowOff>
        </xdr:from>
        <xdr:to>
          <xdr:col>1</xdr:col>
          <xdr:colOff>1447800</xdr:colOff>
          <xdr:row>3</xdr:row>
          <xdr:rowOff>266700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bdullah.seker\AppData\Local\Microsoft\Windows\Temporary%20Internet%20Files\Content.IE5\ECYM3H18\S&#246;zle&#351;me+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"/>
      <sheetName val="Sayfa2"/>
      <sheetName val="Sayfa3"/>
      <sheetName val="Sayfa4"/>
      <sheetName val="Sayfa5"/>
      <sheetName val="Sayfa6"/>
      <sheetName val="Ücret"/>
      <sheetName val="Sayfa8"/>
      <sheetName val="Sayfa9"/>
      <sheetName val="Sayfa7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9" workbookViewId="0">
      <selection activeCell="B28" sqref="B28"/>
    </sheetView>
  </sheetViews>
  <sheetFormatPr defaultColWidth="9.140625" defaultRowHeight="15" x14ac:dyDescent="0.25"/>
  <cols>
    <col min="1" max="1" width="15.42578125" style="6" customWidth="1"/>
    <col min="2" max="2" width="22.85546875" style="6" customWidth="1"/>
    <col min="3" max="3" width="9.5703125" style="64" hidden="1" customWidth="1"/>
    <col min="4" max="4" width="12.42578125" style="6" customWidth="1"/>
    <col min="5" max="5" width="12.140625" style="6" customWidth="1"/>
    <col min="6" max="6" width="12.28515625" style="6" customWidth="1"/>
    <col min="7" max="7" width="2.7109375" style="6" customWidth="1"/>
    <col min="8" max="8" width="10.85546875" style="6" hidden="1" customWidth="1"/>
    <col min="9" max="9" width="16.28515625" style="64" customWidth="1"/>
    <col min="10" max="10" width="2" style="6" hidden="1" customWidth="1"/>
    <col min="11" max="12" width="17.85546875" style="6" customWidth="1"/>
    <col min="13" max="13" width="14" style="6" customWidth="1"/>
    <col min="14" max="14" width="12.85546875" style="6" bestFit="1" customWidth="1"/>
    <col min="15" max="15" width="11.85546875" style="6" bestFit="1" customWidth="1"/>
    <col min="16" max="16" width="10.28515625" style="6" bestFit="1" customWidth="1"/>
    <col min="17" max="16384" width="9.140625" style="6"/>
  </cols>
  <sheetData>
    <row r="1" spans="1:15" s="1" customFormat="1" ht="26.25" x14ac:dyDescent="0.25">
      <c r="A1" s="653" t="s">
        <v>0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</row>
    <row r="2" spans="1:15" s="1" customFormat="1" ht="21" x14ac:dyDescent="0.25">
      <c r="A2" s="2"/>
      <c r="B2" s="2"/>
      <c r="C2" s="2"/>
      <c r="D2" s="2"/>
      <c r="E2" s="2"/>
      <c r="F2" s="2"/>
    </row>
    <row r="3" spans="1:15" s="1" customFormat="1" ht="21" x14ac:dyDescent="0.25">
      <c r="A3" s="3" t="s">
        <v>1</v>
      </c>
      <c r="B3" s="4"/>
      <c r="C3" s="4"/>
      <c r="D3" s="4"/>
      <c r="E3" s="4"/>
      <c r="F3" s="4"/>
    </row>
    <row r="4" spans="1:15" ht="93" customHeight="1" x14ac:dyDescent="0.25">
      <c r="A4" s="654" t="s">
        <v>2</v>
      </c>
      <c r="B4" s="654"/>
      <c r="C4" s="5" t="s">
        <v>3</v>
      </c>
      <c r="D4" s="5" t="s">
        <v>4</v>
      </c>
      <c r="E4" s="5" t="s">
        <v>5</v>
      </c>
      <c r="F4" s="5" t="s">
        <v>6</v>
      </c>
      <c r="H4" s="7" t="str">
        <f>CONCATENATE("Toplam Ele Geçen         (",I3,")")</f>
        <v>Toplam Ele Geçen         ()</v>
      </c>
      <c r="I4" s="8" t="s">
        <v>7</v>
      </c>
      <c r="J4" s="9" t="s">
        <v>8</v>
      </c>
      <c r="K4" s="8" t="s">
        <v>9</v>
      </c>
      <c r="L4" s="8" t="s">
        <v>10</v>
      </c>
      <c r="M4" s="1"/>
    </row>
    <row r="5" spans="1:15" ht="31.5" x14ac:dyDescent="0.25">
      <c r="A5" s="649" t="s">
        <v>11</v>
      </c>
      <c r="B5" s="10" t="s">
        <v>12</v>
      </c>
      <c r="C5" s="5">
        <v>550</v>
      </c>
      <c r="D5" s="11">
        <v>4289.8986277717058</v>
      </c>
      <c r="E5" s="11">
        <v>11941.655382347013</v>
      </c>
      <c r="F5" s="11">
        <f>D5+E5</f>
        <v>16231.554010118718</v>
      </c>
      <c r="H5" s="11">
        <f t="shared" ref="H5:H12" si="0">E5*$I$3+D5</f>
        <v>4289.8986277717058</v>
      </c>
      <c r="I5" s="11">
        <v>13207.529139280641</v>
      </c>
      <c r="J5" s="12">
        <v>12634.834387306819</v>
      </c>
      <c r="K5" s="11">
        <v>12142.846824817807</v>
      </c>
      <c r="L5" s="11">
        <v>12723.327221183245</v>
      </c>
      <c r="M5" s="1"/>
      <c r="N5" s="65"/>
    </row>
    <row r="6" spans="1:15" ht="15.75" x14ac:dyDescent="0.25">
      <c r="A6" s="649"/>
      <c r="B6" s="10" t="s">
        <v>13</v>
      </c>
      <c r="C6" s="5">
        <v>400</v>
      </c>
      <c r="D6" s="11">
        <v>4338.1942847146329</v>
      </c>
      <c r="E6" s="11">
        <v>8637.2648112671013</v>
      </c>
      <c r="F6" s="11">
        <f t="shared" ref="F6:F38" si="1">D6+E6</f>
        <v>12975.459095981734</v>
      </c>
      <c r="H6" s="11">
        <f t="shared" si="0"/>
        <v>4338.1942847146329</v>
      </c>
      <c r="I6" s="11">
        <v>10788.215973566928</v>
      </c>
      <c r="J6" s="13">
        <v>0.80444153102357818</v>
      </c>
      <c r="K6" s="11">
        <v>10018.143249522123</v>
      </c>
      <c r="L6" s="11">
        <v>10437.998180905361</v>
      </c>
      <c r="M6" s="1"/>
      <c r="N6" s="65"/>
    </row>
    <row r="7" spans="1:15" ht="15.75" x14ac:dyDescent="0.25">
      <c r="A7" s="649"/>
      <c r="B7" s="10" t="s">
        <v>14</v>
      </c>
      <c r="C7" s="5">
        <v>300</v>
      </c>
      <c r="D7" s="11">
        <v>4386.489941657559</v>
      </c>
      <c r="E7" s="11">
        <v>6415.3452401871882</v>
      </c>
      <c r="F7" s="11">
        <f t="shared" si="1"/>
        <v>10801.835181844748</v>
      </c>
      <c r="H7" s="11">
        <f t="shared" si="0"/>
        <v>4386.489941657559</v>
      </c>
      <c r="I7" s="11">
        <v>9177.2560979417412</v>
      </c>
      <c r="J7" s="13">
        <v>0.82552001591077517</v>
      </c>
      <c r="K7" s="11">
        <v>8605.2830841753512</v>
      </c>
      <c r="L7" s="11">
        <v>8917.1311511820477</v>
      </c>
      <c r="M7" s="1"/>
      <c r="N7" s="65"/>
    </row>
    <row r="8" spans="1:15" ht="31.5" x14ac:dyDescent="0.25">
      <c r="A8" s="649" t="s">
        <v>15</v>
      </c>
      <c r="B8" s="10" t="s">
        <v>12</v>
      </c>
      <c r="C8" s="5">
        <v>600</v>
      </c>
      <c r="D8" s="11">
        <v>3156.3831833272616</v>
      </c>
      <c r="E8" s="11">
        <v>13075.170826791458</v>
      </c>
      <c r="F8" s="11">
        <f t="shared" si="1"/>
        <v>16231.55401011872</v>
      </c>
      <c r="H8" s="11">
        <f t="shared" si="0"/>
        <v>3156.3831833272616</v>
      </c>
      <c r="I8" s="11">
        <v>12774.275165041505</v>
      </c>
      <c r="J8" s="12">
        <v>10554.245925817819</v>
      </c>
      <c r="K8" s="11">
        <v>11560.449232247471</v>
      </c>
      <c r="L8" s="11">
        <v>12346.009978570046</v>
      </c>
      <c r="M8" s="1"/>
      <c r="N8" s="65"/>
    </row>
    <row r="9" spans="1:15" ht="15.75" x14ac:dyDescent="0.25">
      <c r="A9" s="649"/>
      <c r="B9" s="10" t="s">
        <v>13</v>
      </c>
      <c r="C9" s="5">
        <v>450</v>
      </c>
      <c r="D9" s="11">
        <v>3191.9177291590768</v>
      </c>
      <c r="E9" s="11">
        <v>9783.5413668226574</v>
      </c>
      <c r="F9" s="11">
        <f t="shared" si="1"/>
        <v>12975.459095981734</v>
      </c>
      <c r="H9" s="11">
        <f t="shared" si="0"/>
        <v>3191.9177291590768</v>
      </c>
      <c r="I9" s="11">
        <v>10388.538355478182</v>
      </c>
      <c r="J9" s="13">
        <v>0.77593304313815636</v>
      </c>
      <c r="K9" s="11">
        <v>9480.2889426843394</v>
      </c>
      <c r="L9" s="11">
        <v>10068.087462459778</v>
      </c>
      <c r="M9" s="1"/>
      <c r="N9" s="65"/>
    </row>
    <row r="10" spans="1:15" ht="15.75" x14ac:dyDescent="0.25">
      <c r="A10" s="649"/>
      <c r="B10" s="10" t="s">
        <v>14</v>
      </c>
      <c r="C10" s="5">
        <v>300</v>
      </c>
      <c r="D10" s="11">
        <v>3251.1419722121027</v>
      </c>
      <c r="E10" s="11">
        <v>6462.434266874654</v>
      </c>
      <c r="F10" s="11">
        <f t="shared" si="1"/>
        <v>9713.5762390867567</v>
      </c>
      <c r="H10" s="11">
        <f t="shared" si="0"/>
        <v>3251.1419722121027</v>
      </c>
      <c r="I10" s="11">
        <v>8004.8079503553063</v>
      </c>
      <c r="J10" s="13">
        <v>0.80229327200811607</v>
      </c>
      <c r="K10" s="11">
        <v>7404.8715972457867</v>
      </c>
      <c r="L10" s="11">
        <v>7793.1368637572041</v>
      </c>
      <c r="M10" s="1"/>
      <c r="N10" s="65"/>
      <c r="O10" s="66"/>
    </row>
    <row r="11" spans="1:15" ht="15.75" x14ac:dyDescent="0.25">
      <c r="A11" s="655" t="s">
        <v>16</v>
      </c>
      <c r="B11" s="655"/>
      <c r="C11" s="14">
        <v>125</v>
      </c>
      <c r="D11" s="11">
        <v>2262.1368823619159</v>
      </c>
      <c r="E11" s="11">
        <v>2700.4971714475387</v>
      </c>
      <c r="F11" s="11">
        <f>D11+E11</f>
        <v>4962.6340538094546</v>
      </c>
      <c r="H11" s="11">
        <f t="shared" si="0"/>
        <v>2262.1368823619159</v>
      </c>
      <c r="I11" s="11">
        <v>3875.4499583995248</v>
      </c>
      <c r="J11" s="12">
        <v>3787.8516569335839</v>
      </c>
      <c r="K11" s="11">
        <v>3682.8353510178786</v>
      </c>
      <c r="L11" s="11">
        <v>3787.8516569335839</v>
      </c>
      <c r="M11" s="1"/>
      <c r="N11" s="65"/>
    </row>
    <row r="12" spans="1:15" ht="15.75" x14ac:dyDescent="0.25">
      <c r="A12" s="655" t="s">
        <v>17</v>
      </c>
      <c r="B12" s="655"/>
      <c r="C12" s="14">
        <v>50</v>
      </c>
      <c r="D12" s="11">
        <v>1102.6869233085536</v>
      </c>
      <c r="E12" s="11">
        <v>1145.4037853333332</v>
      </c>
      <c r="F12" s="11">
        <f>D12+E12</f>
        <v>2248.0907086418865</v>
      </c>
      <c r="H12" s="11">
        <f t="shared" si="0"/>
        <v>1102.6869233085536</v>
      </c>
      <c r="I12" s="11">
        <v>1786.9664418205905</v>
      </c>
      <c r="J12" s="13">
        <v>0.77835472016267027</v>
      </c>
      <c r="K12" s="11">
        <v>1705.2698184217329</v>
      </c>
      <c r="L12" s="11">
        <v>1749.8120144252548</v>
      </c>
      <c r="M12" s="1"/>
      <c r="N12" s="65"/>
    </row>
    <row r="13" spans="1:15" ht="15.75" x14ac:dyDescent="0.25">
      <c r="A13" s="15"/>
      <c r="B13" s="15"/>
      <c r="C13" s="16"/>
      <c r="D13" s="17"/>
      <c r="E13" s="17"/>
      <c r="F13" s="17"/>
      <c r="H13" s="17"/>
      <c r="I13" s="18"/>
      <c r="J13" s="19"/>
      <c r="K13" s="17"/>
      <c r="L13" s="17"/>
      <c r="M13" s="1"/>
    </row>
    <row r="14" spans="1:15" ht="15.75" x14ac:dyDescent="0.25">
      <c r="A14" s="20" t="s">
        <v>18</v>
      </c>
      <c r="B14" s="21"/>
      <c r="C14" s="21"/>
      <c r="D14" s="21"/>
      <c r="E14" s="22"/>
      <c r="F14" s="22"/>
      <c r="G14" s="21"/>
      <c r="H14" s="22"/>
      <c r="I14" s="23"/>
      <c r="J14" s="24"/>
      <c r="K14" s="22"/>
      <c r="L14" s="25"/>
      <c r="M14" s="1"/>
    </row>
    <row r="15" spans="1:15" ht="15.75" x14ac:dyDescent="0.25">
      <c r="A15" s="26"/>
      <c r="B15" s="27"/>
      <c r="C15" s="27"/>
      <c r="D15" s="27"/>
      <c r="E15" s="28"/>
      <c r="F15" s="28"/>
      <c r="G15" s="27"/>
      <c r="H15" s="28"/>
      <c r="I15" s="29"/>
      <c r="J15" s="30"/>
      <c r="K15" s="28"/>
      <c r="L15" s="31"/>
      <c r="M15" s="1"/>
    </row>
    <row r="16" spans="1:15" ht="15.75" x14ac:dyDescent="0.25">
      <c r="A16" s="32" t="s">
        <v>19</v>
      </c>
      <c r="B16" s="27"/>
      <c r="C16" s="27"/>
      <c r="D16" s="27"/>
      <c r="E16" s="28"/>
      <c r="F16" s="28"/>
      <c r="G16" s="27"/>
      <c r="H16" s="28"/>
      <c r="I16" s="29"/>
      <c r="J16" s="30"/>
      <c r="K16" s="28"/>
      <c r="L16" s="31"/>
      <c r="M16" s="1"/>
    </row>
    <row r="17" spans="1:14" ht="15.75" x14ac:dyDescent="0.25">
      <c r="A17" s="32" t="s">
        <v>20</v>
      </c>
      <c r="B17" s="27"/>
      <c r="C17" s="27"/>
      <c r="D17" s="27"/>
      <c r="E17" s="28"/>
      <c r="F17" s="28"/>
      <c r="G17" s="27"/>
      <c r="H17" s="28"/>
      <c r="I17" s="29"/>
      <c r="J17" s="30"/>
      <c r="K17" s="28"/>
      <c r="L17" s="31"/>
      <c r="M17" s="1"/>
    </row>
    <row r="18" spans="1:14" ht="15.75" x14ac:dyDescent="0.25">
      <c r="A18" s="32" t="s">
        <v>21</v>
      </c>
      <c r="B18" s="27"/>
      <c r="C18" s="27"/>
      <c r="D18" s="27"/>
      <c r="E18" s="28"/>
      <c r="F18" s="28"/>
      <c r="G18" s="27"/>
      <c r="H18" s="28"/>
      <c r="I18" s="29"/>
      <c r="J18" s="30"/>
      <c r="K18" s="28"/>
      <c r="L18" s="31"/>
      <c r="M18" s="1"/>
    </row>
    <row r="19" spans="1:14" ht="15.75" x14ac:dyDescent="0.25">
      <c r="A19" s="26"/>
      <c r="B19" s="27"/>
      <c r="C19" s="27"/>
      <c r="D19" s="27"/>
      <c r="E19" s="28"/>
      <c r="F19" s="28"/>
      <c r="G19" s="27"/>
      <c r="H19" s="28"/>
      <c r="I19" s="29"/>
      <c r="J19" s="30"/>
      <c r="K19" s="28"/>
      <c r="L19" s="31"/>
      <c r="M19" s="1"/>
    </row>
    <row r="20" spans="1:14" ht="15.75" x14ac:dyDescent="0.25">
      <c r="A20" s="33" t="s">
        <v>22</v>
      </c>
      <c r="B20" s="27"/>
      <c r="C20" s="27"/>
      <c r="D20" s="27"/>
      <c r="E20" s="28"/>
      <c r="F20" s="28"/>
      <c r="G20" s="27"/>
      <c r="H20" s="28"/>
      <c r="I20" s="29"/>
      <c r="J20" s="30"/>
      <c r="K20" s="28"/>
      <c r="L20" s="31"/>
      <c r="M20" s="1"/>
    </row>
    <row r="21" spans="1:14" ht="15.75" x14ac:dyDescent="0.25">
      <c r="A21" s="34"/>
      <c r="B21" s="35"/>
      <c r="C21" s="35"/>
      <c r="D21" s="35"/>
      <c r="E21" s="36"/>
      <c r="F21" s="36"/>
      <c r="G21" s="35"/>
      <c r="H21" s="36"/>
      <c r="I21" s="37"/>
      <c r="J21" s="38"/>
      <c r="K21" s="36"/>
      <c r="L21" s="39"/>
      <c r="M21" s="1"/>
    </row>
    <row r="22" spans="1:14" ht="15.75" x14ac:dyDescent="0.25">
      <c r="A22" s="15"/>
      <c r="B22" s="15"/>
      <c r="C22" s="16"/>
      <c r="D22" s="17"/>
      <c r="E22" s="17"/>
      <c r="F22" s="17"/>
      <c r="H22" s="17"/>
      <c r="I22" s="6"/>
      <c r="M22" s="1"/>
    </row>
    <row r="23" spans="1:14" ht="15.75" x14ac:dyDescent="0.25">
      <c r="A23" s="15"/>
      <c r="B23" s="15"/>
      <c r="C23" s="16"/>
      <c r="D23" s="17"/>
      <c r="E23" s="17"/>
      <c r="F23" s="17"/>
      <c r="H23" s="17"/>
      <c r="I23" s="6"/>
    </row>
    <row r="24" spans="1:14" ht="15.75" x14ac:dyDescent="0.25">
      <c r="A24" s="15"/>
      <c r="B24" s="15"/>
      <c r="C24" s="16"/>
      <c r="D24" s="17"/>
      <c r="E24" s="17"/>
      <c r="F24" s="17"/>
      <c r="H24" s="17"/>
      <c r="I24" s="6"/>
    </row>
    <row r="25" spans="1:14" ht="15.75" x14ac:dyDescent="0.25">
      <c r="A25" s="15"/>
      <c r="B25" s="15"/>
      <c r="C25" s="16"/>
      <c r="D25" s="17"/>
      <c r="E25" s="17"/>
      <c r="F25" s="17"/>
      <c r="H25" s="17"/>
      <c r="I25" s="6"/>
    </row>
    <row r="26" spans="1:14" ht="15.75" x14ac:dyDescent="0.25">
      <c r="A26" s="15"/>
      <c r="B26" s="15"/>
      <c r="C26" s="16"/>
      <c r="D26" s="17"/>
      <c r="E26" s="17"/>
      <c r="F26" s="17"/>
      <c r="H26" s="17"/>
      <c r="I26" s="1"/>
      <c r="J26" s="19"/>
      <c r="K26" s="17"/>
      <c r="L26" s="17"/>
    </row>
    <row r="27" spans="1:14" ht="15.75" x14ac:dyDescent="0.25">
      <c r="A27" s="40"/>
      <c r="B27" s="40"/>
      <c r="C27" s="41"/>
      <c r="D27" s="17"/>
      <c r="E27" s="17"/>
      <c r="F27" s="17"/>
      <c r="H27" s="656" t="str">
        <f>CONCATENATE("Toplam Ele Geçen         (",I3,")")</f>
        <v>Toplam Ele Geçen         ()</v>
      </c>
      <c r="I27" s="652" t="s">
        <v>23</v>
      </c>
      <c r="J27" s="658" t="s">
        <v>8</v>
      </c>
      <c r="K27" s="652" t="s">
        <v>24</v>
      </c>
      <c r="L27" s="652" t="s">
        <v>25</v>
      </c>
      <c r="M27" s="652" t="s">
        <v>26</v>
      </c>
    </row>
    <row r="28" spans="1:14" s="1" customFormat="1" ht="34.5" customHeight="1" x14ac:dyDescent="0.25">
      <c r="A28" s="3" t="s">
        <v>27</v>
      </c>
      <c r="B28" s="40"/>
      <c r="C28" s="41"/>
      <c r="D28" s="17"/>
      <c r="E28" s="17"/>
      <c r="F28" s="17"/>
      <c r="H28" s="657"/>
      <c r="I28" s="652"/>
      <c r="J28" s="658"/>
      <c r="K28" s="652"/>
      <c r="L28" s="652"/>
      <c r="M28" s="652"/>
    </row>
    <row r="29" spans="1:14" ht="31.5" x14ac:dyDescent="0.25">
      <c r="A29" s="649" t="s">
        <v>28</v>
      </c>
      <c r="B29" s="10" t="s">
        <v>12</v>
      </c>
      <c r="C29" s="5">
        <v>600</v>
      </c>
      <c r="D29" s="11">
        <v>3156.3831833272616</v>
      </c>
      <c r="E29" s="11">
        <v>13075.170826791458</v>
      </c>
      <c r="F29" s="11">
        <f t="shared" si="1"/>
        <v>16231.55401011872</v>
      </c>
      <c r="H29" s="11">
        <f t="shared" ref="H29:H38" si="2">E29*$I$3+D29</f>
        <v>3156.3831833272616</v>
      </c>
      <c r="I29" s="11">
        <v>12774.275165041505</v>
      </c>
      <c r="J29" s="13">
        <v>0.76061786634068229</v>
      </c>
      <c r="K29" s="11">
        <v>11560.449232247471</v>
      </c>
      <c r="L29" s="11">
        <v>12346.009978570046</v>
      </c>
      <c r="M29" s="43"/>
      <c r="N29" s="1"/>
    </row>
    <row r="30" spans="1:14" ht="15.75" x14ac:dyDescent="0.25">
      <c r="A30" s="649"/>
      <c r="B30" s="10" t="s">
        <v>13</v>
      </c>
      <c r="C30" s="5">
        <v>450</v>
      </c>
      <c r="D30" s="11">
        <v>3191.9177291590768</v>
      </c>
      <c r="E30" s="11">
        <v>9783.5413668226574</v>
      </c>
      <c r="F30" s="11">
        <f t="shared" si="1"/>
        <v>12975.459095981734</v>
      </c>
      <c r="H30" s="11">
        <f t="shared" si="2"/>
        <v>3191.9177291590768</v>
      </c>
      <c r="I30" s="11">
        <v>10388.538355478182</v>
      </c>
      <c r="J30" s="13">
        <v>0.77593304313815636</v>
      </c>
      <c r="K30" s="11">
        <v>9480.2889426843394</v>
      </c>
      <c r="L30" s="11">
        <v>10068.087462459778</v>
      </c>
      <c r="M30" s="43"/>
      <c r="N30" s="1"/>
    </row>
    <row r="31" spans="1:14" ht="15.75" x14ac:dyDescent="0.25">
      <c r="A31" s="649"/>
      <c r="B31" s="10" t="s">
        <v>14</v>
      </c>
      <c r="C31" s="5">
        <v>300</v>
      </c>
      <c r="D31" s="11">
        <v>3251.1419722121027</v>
      </c>
      <c r="E31" s="11">
        <v>6462.434266874654</v>
      </c>
      <c r="F31" s="11">
        <f t="shared" si="1"/>
        <v>9713.5762390867567</v>
      </c>
      <c r="H31" s="11">
        <f t="shared" si="2"/>
        <v>3251.1419722121027</v>
      </c>
      <c r="I31" s="11">
        <v>8004.8079503553063</v>
      </c>
      <c r="J31" s="13">
        <v>0.80229327200811607</v>
      </c>
      <c r="K31" s="11">
        <v>7404.8715972457867</v>
      </c>
      <c r="L31" s="11">
        <v>7793.1368637572041</v>
      </c>
      <c r="M31" s="43"/>
      <c r="N31" s="1"/>
    </row>
    <row r="32" spans="1:14" ht="31.5" x14ac:dyDescent="0.25">
      <c r="A32" s="649" t="s">
        <v>29</v>
      </c>
      <c r="B32" s="10" t="s">
        <v>12</v>
      </c>
      <c r="C32" s="5">
        <v>600</v>
      </c>
      <c r="D32" s="11">
        <v>3156.3831833272616</v>
      </c>
      <c r="E32" s="11">
        <v>13075.170826791458</v>
      </c>
      <c r="F32" s="11">
        <f t="shared" si="1"/>
        <v>16231.55401011872</v>
      </c>
      <c r="H32" s="11">
        <f t="shared" si="2"/>
        <v>3156.3831833272616</v>
      </c>
      <c r="I32" s="11">
        <v>12774.275165041505</v>
      </c>
      <c r="J32" s="13">
        <v>0.76061786634068229</v>
      </c>
      <c r="K32" s="11">
        <v>11560.449232247471</v>
      </c>
      <c r="L32" s="11">
        <v>12346.009978570046</v>
      </c>
      <c r="M32" s="12">
        <v>13193</v>
      </c>
      <c r="N32" s="44"/>
    </row>
    <row r="33" spans="1:14" ht="15.75" x14ac:dyDescent="0.25">
      <c r="A33" s="649"/>
      <c r="B33" s="10" t="s">
        <v>13</v>
      </c>
      <c r="C33" s="5">
        <v>450</v>
      </c>
      <c r="D33" s="11">
        <v>3191.9177291590768</v>
      </c>
      <c r="E33" s="11">
        <v>9783.5413668226574</v>
      </c>
      <c r="F33" s="11">
        <f t="shared" si="1"/>
        <v>12975.459095981734</v>
      </c>
      <c r="H33" s="11">
        <f t="shared" si="2"/>
        <v>3191.9177291590768</v>
      </c>
      <c r="I33" s="11">
        <v>10388.538355478182</v>
      </c>
      <c r="J33" s="13">
        <v>0.77593304313815636</v>
      </c>
      <c r="K33" s="11">
        <v>9480.2889426843394</v>
      </c>
      <c r="L33" s="11">
        <v>10068.087462459778</v>
      </c>
      <c r="M33" s="12">
        <v>9100</v>
      </c>
      <c r="N33" s="1"/>
    </row>
    <row r="34" spans="1:14" ht="15.75" x14ac:dyDescent="0.25">
      <c r="A34" s="649"/>
      <c r="B34" s="10" t="s">
        <v>30</v>
      </c>
      <c r="C34" s="5">
        <v>200</v>
      </c>
      <c r="D34" s="11">
        <v>3318.8268214155605</v>
      </c>
      <c r="E34" s="11">
        <v>4213.2704383626515</v>
      </c>
      <c r="F34" s="11">
        <f t="shared" si="1"/>
        <v>7532.097259778212</v>
      </c>
      <c r="H34" s="11">
        <f t="shared" si="2"/>
        <v>3318.8268214155605</v>
      </c>
      <c r="I34" s="11">
        <v>6418.0429236548734</v>
      </c>
      <c r="J34" s="13">
        <v>0.83377058362463152</v>
      </c>
      <c r="K34" s="11">
        <v>6026.9063956731552</v>
      </c>
      <c r="L34" s="11">
        <v>6280.041128202768</v>
      </c>
      <c r="M34" s="12">
        <v>6200</v>
      </c>
      <c r="N34" s="1"/>
    </row>
    <row r="35" spans="1:14" ht="15.75" x14ac:dyDescent="0.25">
      <c r="A35" s="650" t="s">
        <v>31</v>
      </c>
      <c r="B35" s="45" t="s">
        <v>32</v>
      </c>
      <c r="C35" s="46">
        <v>270</v>
      </c>
      <c r="D35" s="11">
        <v>3268.0631845129669</v>
      </c>
      <c r="E35" s="11">
        <v>5791.8962097466519</v>
      </c>
      <c r="F35" s="11">
        <f t="shared" si="1"/>
        <v>9059.9593942596184</v>
      </c>
      <c r="H35" s="11">
        <f t="shared" si="2"/>
        <v>3268.0631845129669</v>
      </c>
      <c r="I35" s="11">
        <v>7528.491813139397</v>
      </c>
      <c r="J35" s="13">
        <v>0.81002389349681425</v>
      </c>
      <c r="K35" s="11">
        <v>6990.8044733276274</v>
      </c>
      <c r="L35" s="11">
        <v>7338.7835834612151</v>
      </c>
      <c r="M35" s="12">
        <v>7700</v>
      </c>
    </row>
    <row r="36" spans="1:14" ht="15.75" x14ac:dyDescent="0.25">
      <c r="A36" s="650"/>
      <c r="B36" s="45" t="s">
        <v>30</v>
      </c>
      <c r="C36" s="46">
        <v>180</v>
      </c>
      <c r="D36" s="11">
        <v>3337.2863257437766</v>
      </c>
      <c r="E36" s="11">
        <v>3757.3124487684686</v>
      </c>
      <c r="F36" s="11">
        <f t="shared" si="1"/>
        <v>7094.5987745122457</v>
      </c>
      <c r="H36" s="11">
        <f t="shared" si="2"/>
        <v>3337.2863257437766</v>
      </c>
      <c r="I36" s="11">
        <v>6101.1068335231912</v>
      </c>
      <c r="J36" s="13">
        <v>0.84261840766074991</v>
      </c>
      <c r="K36" s="11">
        <v>5752.2989021897101</v>
      </c>
      <c r="L36" s="11">
        <v>5978.0395223714158</v>
      </c>
      <c r="M36" s="12">
        <v>6300</v>
      </c>
    </row>
    <row r="37" spans="1:14" ht="15.75" x14ac:dyDescent="0.25">
      <c r="A37" s="651" t="s">
        <v>33</v>
      </c>
      <c r="B37" s="651"/>
      <c r="C37" s="47">
        <v>125</v>
      </c>
      <c r="D37" s="11">
        <v>2289.6963990901199</v>
      </c>
      <c r="E37" s="11">
        <v>2693.1311685185183</v>
      </c>
      <c r="F37" s="11">
        <f t="shared" si="1"/>
        <v>4982.8275676086378</v>
      </c>
      <c r="H37" s="11">
        <f t="shared" si="2"/>
        <v>2289.6963990901199</v>
      </c>
      <c r="I37" s="11">
        <v>3874.5166673392755</v>
      </c>
      <c r="J37" s="13">
        <v>0.76341149468292135</v>
      </c>
      <c r="K37" s="11">
        <v>3674.504445942342</v>
      </c>
      <c r="L37" s="11">
        <v>3803.9478411353753</v>
      </c>
      <c r="M37" s="12">
        <v>3700</v>
      </c>
    </row>
    <row r="38" spans="1:14" ht="15.75" x14ac:dyDescent="0.25">
      <c r="A38" s="650" t="s">
        <v>34</v>
      </c>
      <c r="B38" s="650"/>
      <c r="C38" s="46">
        <v>75</v>
      </c>
      <c r="D38" s="11">
        <v>1724.2807846890123</v>
      </c>
      <c r="E38" s="11">
        <v>1668.1540113333333</v>
      </c>
      <c r="F38" s="11">
        <f t="shared" si="1"/>
        <v>3392.4347960223458</v>
      </c>
      <c r="H38" s="11">
        <f t="shared" si="2"/>
        <v>1724.2807846890123</v>
      </c>
      <c r="I38" s="11">
        <v>2705.9352687431629</v>
      </c>
      <c r="J38" s="13">
        <v>0.78475323752816917</v>
      </c>
      <c r="K38" s="11">
        <v>2582.0455773166123</v>
      </c>
      <c r="L38" s="11">
        <v>2662.2241892817501</v>
      </c>
      <c r="M38" s="12">
        <v>2600</v>
      </c>
    </row>
    <row r="41" spans="1:14" ht="15.75" x14ac:dyDescent="0.25">
      <c r="A41" s="48" t="s">
        <v>18</v>
      </c>
      <c r="B41" s="49"/>
      <c r="C41" s="49"/>
      <c r="D41" s="49"/>
      <c r="E41" s="50"/>
      <c r="F41" s="50"/>
      <c r="G41" s="49"/>
      <c r="H41" s="50"/>
      <c r="I41" s="51"/>
      <c r="J41" s="52"/>
      <c r="K41" s="50"/>
      <c r="L41" s="50"/>
      <c r="M41" s="53"/>
    </row>
    <row r="42" spans="1:14" ht="15.75" x14ac:dyDescent="0.25">
      <c r="A42" s="54"/>
      <c r="B42" s="27"/>
      <c r="C42" s="27"/>
      <c r="D42" s="27"/>
      <c r="E42" s="28"/>
      <c r="F42" s="28"/>
      <c r="G42" s="27"/>
      <c r="H42" s="28"/>
      <c r="I42" s="29"/>
      <c r="J42" s="30"/>
      <c r="K42" s="28"/>
      <c r="L42" s="28"/>
      <c r="M42" s="55"/>
    </row>
    <row r="43" spans="1:14" ht="15.75" x14ac:dyDescent="0.25">
      <c r="A43" s="56" t="s">
        <v>19</v>
      </c>
      <c r="B43" s="27"/>
      <c r="C43" s="27"/>
      <c r="D43" s="27"/>
      <c r="E43" s="28"/>
      <c r="F43" s="28"/>
      <c r="G43" s="27"/>
      <c r="H43" s="28"/>
      <c r="I43" s="29"/>
      <c r="J43" s="30"/>
      <c r="K43" s="28"/>
      <c r="L43" s="28"/>
      <c r="M43" s="55"/>
    </row>
    <row r="44" spans="1:14" ht="15.75" x14ac:dyDescent="0.25">
      <c r="A44" s="56" t="s">
        <v>35</v>
      </c>
      <c r="B44" s="27"/>
      <c r="C44" s="27"/>
      <c r="D44" s="27"/>
      <c r="E44" s="28"/>
      <c r="F44" s="28"/>
      <c r="G44" s="27"/>
      <c r="H44" s="28"/>
      <c r="I44" s="29"/>
      <c r="J44" s="30"/>
      <c r="K44" s="28"/>
      <c r="L44" s="28"/>
      <c r="M44" s="55"/>
    </row>
    <row r="45" spans="1:14" ht="15.75" x14ac:dyDescent="0.25">
      <c r="A45" s="56" t="s">
        <v>36</v>
      </c>
      <c r="B45" s="27"/>
      <c r="C45" s="27"/>
      <c r="D45" s="27"/>
      <c r="E45" s="28"/>
      <c r="F45" s="28"/>
      <c r="G45" s="27"/>
      <c r="H45" s="28"/>
      <c r="I45" s="29"/>
      <c r="J45" s="30"/>
      <c r="K45" s="28"/>
      <c r="L45" s="28"/>
      <c r="M45" s="55"/>
    </row>
    <row r="46" spans="1:14" ht="15.75" x14ac:dyDescent="0.25">
      <c r="A46" s="54"/>
      <c r="B46" s="27"/>
      <c r="C46" s="27"/>
      <c r="D46" s="27"/>
      <c r="E46" s="28"/>
      <c r="F46" s="28"/>
      <c r="G46" s="27"/>
      <c r="H46" s="28"/>
      <c r="I46" s="29"/>
      <c r="J46" s="30"/>
      <c r="K46" s="28"/>
      <c r="L46" s="28"/>
      <c r="M46" s="55"/>
    </row>
    <row r="47" spans="1:14" ht="15.75" x14ac:dyDescent="0.25">
      <c r="A47" s="57" t="s">
        <v>22</v>
      </c>
      <c r="B47" s="27"/>
      <c r="C47" s="27"/>
      <c r="D47" s="27"/>
      <c r="E47" s="28"/>
      <c r="F47" s="28"/>
      <c r="G47" s="27"/>
      <c r="H47" s="28"/>
      <c r="I47" s="29"/>
      <c r="J47" s="30"/>
      <c r="K47" s="28"/>
      <c r="L47" s="28"/>
      <c r="M47" s="55"/>
    </row>
    <row r="48" spans="1:14" ht="15.75" x14ac:dyDescent="0.25">
      <c r="A48" s="58"/>
      <c r="B48" s="59"/>
      <c r="C48" s="59"/>
      <c r="D48" s="59"/>
      <c r="E48" s="60"/>
      <c r="F48" s="60"/>
      <c r="G48" s="59"/>
      <c r="H48" s="60"/>
      <c r="I48" s="61"/>
      <c r="J48" s="62"/>
      <c r="K48" s="60"/>
      <c r="L48" s="60"/>
      <c r="M48" s="63"/>
    </row>
  </sheetData>
  <mergeCells count="17">
    <mergeCell ref="M27:M28"/>
    <mergeCell ref="A1:L1"/>
    <mergeCell ref="A4:B4"/>
    <mergeCell ref="A5:A7"/>
    <mergeCell ref="A8:A10"/>
    <mergeCell ref="A11:B11"/>
    <mergeCell ref="A12:B12"/>
    <mergeCell ref="H27:H28"/>
    <mergeCell ref="I27:I28"/>
    <mergeCell ref="J27:J28"/>
    <mergeCell ref="K27:K28"/>
    <mergeCell ref="L27:L28"/>
    <mergeCell ref="A29:A31"/>
    <mergeCell ref="A32:A34"/>
    <mergeCell ref="A35:A36"/>
    <mergeCell ref="A37:B37"/>
    <mergeCell ref="A38:B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O82"/>
  <sheetViews>
    <sheetView workbookViewId="0">
      <selection activeCell="N2" sqref="N2"/>
    </sheetView>
  </sheetViews>
  <sheetFormatPr defaultRowHeight="15" x14ac:dyDescent="0.25"/>
  <cols>
    <col min="7" max="7" width="19.28515625" customWidth="1"/>
    <col min="14" max="14" width="29.42578125" customWidth="1"/>
    <col min="15" max="15" width="14.5703125" style="186" customWidth="1"/>
  </cols>
  <sheetData>
    <row r="1" spans="7:15" ht="126.75" thickBot="1" x14ac:dyDescent="0.3">
      <c r="G1" s="174" t="s">
        <v>165</v>
      </c>
      <c r="H1" s="175" t="s">
        <v>166</v>
      </c>
      <c r="I1" s="175" t="s">
        <v>167</v>
      </c>
      <c r="J1" s="175" t="s">
        <v>168</v>
      </c>
      <c r="N1" s="181" t="s">
        <v>169</v>
      </c>
      <c r="O1" s="184" t="s">
        <v>37</v>
      </c>
    </row>
    <row r="2" spans="7:15" ht="16.5" thickBot="1" x14ac:dyDescent="0.3">
      <c r="G2" s="176" t="s">
        <v>42</v>
      </c>
      <c r="H2" s="177">
        <v>1</v>
      </c>
      <c r="I2" s="178">
        <v>1</v>
      </c>
      <c r="J2" s="179">
        <v>1</v>
      </c>
      <c r="N2" s="182" t="s">
        <v>69</v>
      </c>
      <c r="O2" s="185">
        <f t="shared" ref="O2:O20" si="0">VLOOKUP(N2,G:H,2,0)</f>
        <v>1</v>
      </c>
    </row>
    <row r="3" spans="7:15" ht="16.5" thickBot="1" x14ac:dyDescent="0.3">
      <c r="G3" s="176" t="s">
        <v>69</v>
      </c>
      <c r="H3" s="177">
        <v>1</v>
      </c>
      <c r="I3" s="178">
        <v>0.92</v>
      </c>
      <c r="J3" s="179">
        <v>0.96</v>
      </c>
      <c r="N3" s="182" t="s">
        <v>80</v>
      </c>
      <c r="O3" s="185">
        <f t="shared" si="0"/>
        <v>1</v>
      </c>
    </row>
    <row r="4" spans="7:15" ht="16.5" thickBot="1" x14ac:dyDescent="0.3">
      <c r="G4" s="176" t="s">
        <v>80</v>
      </c>
      <c r="H4" s="177">
        <v>1</v>
      </c>
      <c r="I4" s="178">
        <v>0.88</v>
      </c>
      <c r="J4" s="179">
        <v>0.94</v>
      </c>
      <c r="N4" s="182" t="s">
        <v>42</v>
      </c>
      <c r="O4" s="185">
        <f t="shared" si="0"/>
        <v>1</v>
      </c>
    </row>
    <row r="5" spans="7:15" ht="16.5" thickBot="1" x14ac:dyDescent="0.3">
      <c r="G5" s="176" t="s">
        <v>40</v>
      </c>
      <c r="H5" s="177">
        <v>0.99</v>
      </c>
      <c r="I5" s="178">
        <v>1</v>
      </c>
      <c r="J5" s="179">
        <v>0.995</v>
      </c>
      <c r="N5" s="182" t="s">
        <v>113</v>
      </c>
      <c r="O5" s="185">
        <f t="shared" si="0"/>
        <v>0.99</v>
      </c>
    </row>
    <row r="6" spans="7:15" ht="16.5" thickBot="1" x14ac:dyDescent="0.3">
      <c r="G6" s="176" t="s">
        <v>70</v>
      </c>
      <c r="H6" s="177">
        <v>0.99</v>
      </c>
      <c r="I6" s="178">
        <v>0.92</v>
      </c>
      <c r="J6" s="179">
        <v>0.95500000000000007</v>
      </c>
      <c r="N6" s="182" t="s">
        <v>70</v>
      </c>
      <c r="O6" s="185">
        <f t="shared" si="0"/>
        <v>0.99</v>
      </c>
    </row>
    <row r="7" spans="7:15" ht="16.5" thickBot="1" x14ac:dyDescent="0.3">
      <c r="G7" s="176" t="s">
        <v>92</v>
      </c>
      <c r="H7" s="177">
        <v>0.99</v>
      </c>
      <c r="I7" s="178">
        <v>0.88</v>
      </c>
      <c r="J7" s="179">
        <v>0.93500000000000005</v>
      </c>
      <c r="N7" s="182" t="s">
        <v>40</v>
      </c>
      <c r="O7" s="185">
        <f t="shared" si="0"/>
        <v>0.99</v>
      </c>
    </row>
    <row r="8" spans="7:15" ht="16.5" thickBot="1" x14ac:dyDescent="0.3">
      <c r="G8" s="176" t="s">
        <v>113</v>
      </c>
      <c r="H8" s="177">
        <v>0.99</v>
      </c>
      <c r="I8" s="178">
        <v>0.8</v>
      </c>
      <c r="J8" s="179">
        <v>0.89500000000000002</v>
      </c>
      <c r="N8" s="182" t="s">
        <v>92</v>
      </c>
      <c r="O8" s="185">
        <f t="shared" si="0"/>
        <v>0.99</v>
      </c>
    </row>
    <row r="9" spans="7:15" ht="16.5" thickBot="1" x14ac:dyDescent="0.3">
      <c r="G9" s="176" t="s">
        <v>41</v>
      </c>
      <c r="H9" s="177">
        <v>0.98</v>
      </c>
      <c r="I9" s="178">
        <v>1</v>
      </c>
      <c r="J9" s="179">
        <v>0.99</v>
      </c>
      <c r="N9" s="182" t="s">
        <v>82</v>
      </c>
      <c r="O9" s="185">
        <f t="shared" si="0"/>
        <v>0.98</v>
      </c>
    </row>
    <row r="10" spans="7:15" ht="16.5" thickBot="1" x14ac:dyDescent="0.3">
      <c r="G10" s="176" t="s">
        <v>43</v>
      </c>
      <c r="H10" s="177">
        <v>0.98</v>
      </c>
      <c r="I10" s="178">
        <v>1</v>
      </c>
      <c r="J10" s="179">
        <v>0.99</v>
      </c>
      <c r="N10" s="182" t="s">
        <v>103</v>
      </c>
      <c r="O10" s="185">
        <f t="shared" si="0"/>
        <v>0.98</v>
      </c>
    </row>
    <row r="11" spans="7:15" ht="16.5" thickBot="1" x14ac:dyDescent="0.3">
      <c r="G11" s="176" t="s">
        <v>73</v>
      </c>
      <c r="H11" s="177">
        <v>0.98</v>
      </c>
      <c r="I11" s="178">
        <v>0.92</v>
      </c>
      <c r="J11" s="179">
        <v>0.95</v>
      </c>
      <c r="N11" s="182" t="s">
        <v>43</v>
      </c>
      <c r="O11" s="185">
        <f t="shared" si="0"/>
        <v>0.98</v>
      </c>
    </row>
    <row r="12" spans="7:15" ht="16.5" thickBot="1" x14ac:dyDescent="0.3">
      <c r="G12" s="176" t="s">
        <v>83</v>
      </c>
      <c r="H12" s="177">
        <v>0.98</v>
      </c>
      <c r="I12" s="178">
        <v>0.88</v>
      </c>
      <c r="J12" s="179">
        <v>0.92999999999999994</v>
      </c>
      <c r="N12" s="182" t="s">
        <v>111</v>
      </c>
      <c r="O12" s="185">
        <f t="shared" si="0"/>
        <v>0.98</v>
      </c>
    </row>
    <row r="13" spans="7:15" ht="16.5" thickBot="1" x14ac:dyDescent="0.3">
      <c r="G13" s="176" t="s">
        <v>82</v>
      </c>
      <c r="H13" s="177">
        <v>0.98</v>
      </c>
      <c r="I13" s="178">
        <v>0.88</v>
      </c>
      <c r="J13" s="179">
        <v>0.92999999999999994</v>
      </c>
      <c r="N13" s="182" t="s">
        <v>83</v>
      </c>
      <c r="O13" s="185">
        <f t="shared" si="0"/>
        <v>0.98</v>
      </c>
    </row>
    <row r="14" spans="7:15" ht="16.5" thickBot="1" x14ac:dyDescent="0.3">
      <c r="G14" s="176" t="s">
        <v>103</v>
      </c>
      <c r="H14" s="177">
        <v>0.98</v>
      </c>
      <c r="I14" s="178">
        <v>0.84</v>
      </c>
      <c r="J14" s="179">
        <v>0.90999999999999992</v>
      </c>
      <c r="N14" s="182" t="s">
        <v>73</v>
      </c>
      <c r="O14" s="185">
        <f t="shared" si="0"/>
        <v>0.98</v>
      </c>
    </row>
    <row r="15" spans="7:15" ht="16.5" thickBot="1" x14ac:dyDescent="0.3">
      <c r="G15" s="176" t="s">
        <v>105</v>
      </c>
      <c r="H15" s="177">
        <v>0.98</v>
      </c>
      <c r="I15" s="178">
        <v>0.84</v>
      </c>
      <c r="J15" s="179">
        <v>0.90999999999999992</v>
      </c>
      <c r="N15" s="182" t="s">
        <v>41</v>
      </c>
      <c r="O15" s="185">
        <f t="shared" si="0"/>
        <v>0.98</v>
      </c>
    </row>
    <row r="16" spans="7:15" ht="16.5" thickBot="1" x14ac:dyDescent="0.3">
      <c r="G16" s="176" t="s">
        <v>111</v>
      </c>
      <c r="H16" s="177">
        <v>0.98</v>
      </c>
      <c r="I16" s="178">
        <v>0.8</v>
      </c>
      <c r="J16" s="179">
        <v>0.89</v>
      </c>
      <c r="N16" s="182" t="s">
        <v>105</v>
      </c>
      <c r="O16" s="185">
        <f t="shared" si="0"/>
        <v>0.98</v>
      </c>
    </row>
    <row r="17" spans="7:15" ht="16.5" thickBot="1" x14ac:dyDescent="0.3">
      <c r="G17" s="176" t="s">
        <v>61</v>
      </c>
      <c r="H17" s="177">
        <v>0.97</v>
      </c>
      <c r="I17" s="178">
        <v>1</v>
      </c>
      <c r="J17" s="179">
        <v>0.98499999999999999</v>
      </c>
      <c r="N17" s="182" t="s">
        <v>68</v>
      </c>
      <c r="O17" s="185">
        <f t="shared" si="0"/>
        <v>0.97</v>
      </c>
    </row>
    <row r="18" spans="7:15" ht="16.5" thickBot="1" x14ac:dyDescent="0.3">
      <c r="G18" s="176" t="s">
        <v>68</v>
      </c>
      <c r="H18" s="177">
        <v>0.97</v>
      </c>
      <c r="I18" s="178">
        <v>0.92</v>
      </c>
      <c r="J18" s="179">
        <v>0.94500000000000006</v>
      </c>
      <c r="N18" s="182" t="s">
        <v>94</v>
      </c>
      <c r="O18" s="185">
        <f t="shared" si="0"/>
        <v>0.97</v>
      </c>
    </row>
    <row r="19" spans="7:15" ht="16.5" thickBot="1" x14ac:dyDescent="0.3">
      <c r="G19" s="176" t="s">
        <v>72</v>
      </c>
      <c r="H19" s="177">
        <v>0.97</v>
      </c>
      <c r="I19" s="178">
        <v>0.92</v>
      </c>
      <c r="J19" s="179">
        <v>0.94500000000000006</v>
      </c>
      <c r="N19" s="182" t="s">
        <v>71</v>
      </c>
      <c r="O19" s="185">
        <f t="shared" si="0"/>
        <v>0.97</v>
      </c>
    </row>
    <row r="20" spans="7:15" ht="16.5" thickBot="1" x14ac:dyDescent="0.3">
      <c r="G20" s="176" t="s">
        <v>71</v>
      </c>
      <c r="H20" s="177">
        <v>0.97</v>
      </c>
      <c r="I20" s="178">
        <v>0.92</v>
      </c>
      <c r="J20" s="179">
        <v>0.94500000000000006</v>
      </c>
      <c r="N20" s="182" t="s">
        <v>100</v>
      </c>
      <c r="O20" s="185">
        <f t="shared" si="0"/>
        <v>0.97</v>
      </c>
    </row>
    <row r="21" spans="7:15" ht="16.5" thickBot="1" x14ac:dyDescent="0.3">
      <c r="G21" s="176" t="s">
        <v>74</v>
      </c>
      <c r="H21" s="177">
        <v>0.97</v>
      </c>
      <c r="I21" s="178">
        <v>0.92</v>
      </c>
      <c r="J21" s="179">
        <v>0.94500000000000006</v>
      </c>
      <c r="N21" s="182" t="s">
        <v>87</v>
      </c>
      <c r="O21" s="185">
        <v>0.97</v>
      </c>
    </row>
    <row r="22" spans="7:15" ht="16.5" thickBot="1" x14ac:dyDescent="0.3">
      <c r="G22" s="176" t="s">
        <v>77</v>
      </c>
      <c r="H22" s="177">
        <v>0.97</v>
      </c>
      <c r="I22" s="178">
        <v>0.92</v>
      </c>
      <c r="J22" s="179">
        <v>0.94500000000000006</v>
      </c>
      <c r="N22" s="182" t="s">
        <v>61</v>
      </c>
      <c r="O22" s="185">
        <f t="shared" ref="O22:O53" si="1">VLOOKUP(N22,G:H,2,0)</f>
        <v>0.97</v>
      </c>
    </row>
    <row r="23" spans="7:15" ht="16.5" thickBot="1" x14ac:dyDescent="0.3">
      <c r="G23" s="176" t="s">
        <v>85</v>
      </c>
      <c r="H23" s="177">
        <v>0.97</v>
      </c>
      <c r="I23" s="178">
        <v>0.88</v>
      </c>
      <c r="J23" s="179">
        <v>0.92500000000000004</v>
      </c>
      <c r="N23" s="182" t="s">
        <v>112</v>
      </c>
      <c r="O23" s="185">
        <f t="shared" si="1"/>
        <v>0.97</v>
      </c>
    </row>
    <row r="24" spans="7:15" ht="16.5" thickBot="1" x14ac:dyDescent="0.3">
      <c r="G24" s="176" t="s">
        <v>94</v>
      </c>
      <c r="H24" s="177">
        <v>0.97</v>
      </c>
      <c r="I24" s="178">
        <v>0.88</v>
      </c>
      <c r="J24" s="179">
        <v>0.92500000000000004</v>
      </c>
      <c r="N24" s="182" t="s">
        <v>72</v>
      </c>
      <c r="O24" s="185">
        <f t="shared" si="1"/>
        <v>0.97</v>
      </c>
    </row>
    <row r="25" spans="7:15" ht="16.5" thickBot="1" x14ac:dyDescent="0.3">
      <c r="G25" s="176" t="s">
        <v>91</v>
      </c>
      <c r="H25" s="177">
        <v>0.97</v>
      </c>
      <c r="I25" s="178">
        <v>0.88</v>
      </c>
      <c r="J25" s="179">
        <v>0.92500000000000004</v>
      </c>
      <c r="N25" s="182" t="s">
        <v>91</v>
      </c>
      <c r="O25" s="185">
        <f t="shared" si="1"/>
        <v>0.97</v>
      </c>
    </row>
    <row r="26" spans="7:15" ht="16.5" thickBot="1" x14ac:dyDescent="0.3">
      <c r="G26" s="176" t="s">
        <v>100</v>
      </c>
      <c r="H26" s="177">
        <v>0.97</v>
      </c>
      <c r="I26" s="178">
        <v>0.84</v>
      </c>
      <c r="J26" s="179">
        <v>0.90500000000000003</v>
      </c>
      <c r="N26" s="182" t="s">
        <v>74</v>
      </c>
      <c r="O26" s="185">
        <f t="shared" si="1"/>
        <v>0.97</v>
      </c>
    </row>
    <row r="27" spans="7:15" ht="16.5" thickBot="1" x14ac:dyDescent="0.3">
      <c r="G27" s="176" t="s">
        <v>112</v>
      </c>
      <c r="H27" s="177">
        <v>0.97</v>
      </c>
      <c r="I27" s="178">
        <v>0.8</v>
      </c>
      <c r="J27" s="179">
        <v>0.88500000000000001</v>
      </c>
      <c r="N27" s="182" t="s">
        <v>116</v>
      </c>
      <c r="O27" s="185">
        <f t="shared" si="1"/>
        <v>0.97</v>
      </c>
    </row>
    <row r="28" spans="7:15" ht="16.5" thickBot="1" x14ac:dyDescent="0.3">
      <c r="G28" s="176" t="s">
        <v>116</v>
      </c>
      <c r="H28" s="177">
        <v>0.97</v>
      </c>
      <c r="I28" s="178">
        <v>0.8</v>
      </c>
      <c r="J28" s="179">
        <v>0.88500000000000001</v>
      </c>
      <c r="N28" s="182" t="s">
        <v>77</v>
      </c>
      <c r="O28" s="185">
        <f t="shared" si="1"/>
        <v>0.97</v>
      </c>
    </row>
    <row r="29" spans="7:15" ht="16.5" thickBot="1" x14ac:dyDescent="0.3">
      <c r="G29" s="176" t="s">
        <v>47</v>
      </c>
      <c r="H29" s="177">
        <v>0.96</v>
      </c>
      <c r="I29" s="178">
        <v>1</v>
      </c>
      <c r="J29" s="179">
        <v>0.98</v>
      </c>
      <c r="N29" s="182" t="s">
        <v>85</v>
      </c>
      <c r="O29" s="185">
        <f t="shared" si="1"/>
        <v>0.97</v>
      </c>
    </row>
    <row r="30" spans="7:15" ht="16.5" thickBot="1" x14ac:dyDescent="0.3">
      <c r="G30" s="176" t="s">
        <v>45</v>
      </c>
      <c r="H30" s="177">
        <v>0.96</v>
      </c>
      <c r="I30" s="178">
        <v>1</v>
      </c>
      <c r="J30" s="179">
        <v>0.98</v>
      </c>
      <c r="N30" s="182" t="s">
        <v>75</v>
      </c>
      <c r="O30" s="185">
        <f t="shared" si="1"/>
        <v>0.96</v>
      </c>
    </row>
    <row r="31" spans="7:15" ht="16.5" thickBot="1" x14ac:dyDescent="0.3">
      <c r="G31" s="176" t="s">
        <v>52</v>
      </c>
      <c r="H31" s="177">
        <v>0.96</v>
      </c>
      <c r="I31" s="178">
        <v>1</v>
      </c>
      <c r="J31" s="179">
        <v>0.98</v>
      </c>
      <c r="N31" s="182" t="s">
        <v>108</v>
      </c>
      <c r="O31" s="185">
        <f t="shared" si="1"/>
        <v>0.96</v>
      </c>
    </row>
    <row r="32" spans="7:15" ht="16.5" thickBot="1" x14ac:dyDescent="0.3">
      <c r="G32" s="176" t="s">
        <v>67</v>
      </c>
      <c r="H32" s="177">
        <v>0.96</v>
      </c>
      <c r="I32" s="178">
        <v>0.92</v>
      </c>
      <c r="J32" s="179">
        <v>0.94</v>
      </c>
      <c r="N32" s="182" t="s">
        <v>109</v>
      </c>
      <c r="O32" s="185">
        <f t="shared" si="1"/>
        <v>0.96</v>
      </c>
    </row>
    <row r="33" spans="7:15" ht="16.5" thickBot="1" x14ac:dyDescent="0.3">
      <c r="G33" s="176" t="s">
        <v>78</v>
      </c>
      <c r="H33" s="177">
        <v>0.96</v>
      </c>
      <c r="I33" s="178">
        <v>0.92</v>
      </c>
      <c r="J33" s="179">
        <v>0.94</v>
      </c>
      <c r="N33" s="182" t="s">
        <v>119</v>
      </c>
      <c r="O33" s="185">
        <f t="shared" si="1"/>
        <v>0.96</v>
      </c>
    </row>
    <row r="34" spans="7:15" ht="16.5" thickBot="1" x14ac:dyDescent="0.3">
      <c r="G34" s="176" t="s">
        <v>76</v>
      </c>
      <c r="H34" s="177">
        <v>0.96</v>
      </c>
      <c r="I34" s="178">
        <v>0.92</v>
      </c>
      <c r="J34" s="179">
        <v>0.94</v>
      </c>
      <c r="N34" s="182" t="s">
        <v>78</v>
      </c>
      <c r="O34" s="185">
        <f t="shared" si="1"/>
        <v>0.96</v>
      </c>
    </row>
    <row r="35" spans="7:15" ht="16.5" thickBot="1" x14ac:dyDescent="0.3">
      <c r="G35" s="176" t="s">
        <v>75</v>
      </c>
      <c r="H35" s="177">
        <v>0.96</v>
      </c>
      <c r="I35" s="178">
        <v>0.92</v>
      </c>
      <c r="J35" s="179">
        <v>0.94</v>
      </c>
      <c r="N35" s="182" t="s">
        <v>101</v>
      </c>
      <c r="O35" s="185">
        <f t="shared" si="1"/>
        <v>0.96</v>
      </c>
    </row>
    <row r="36" spans="7:15" ht="16.5" thickBot="1" x14ac:dyDescent="0.3">
      <c r="G36" s="176" t="s">
        <v>98</v>
      </c>
      <c r="H36" s="177">
        <v>0.96</v>
      </c>
      <c r="I36" s="178">
        <v>0.88</v>
      </c>
      <c r="J36" s="179">
        <v>0.91999999999999993</v>
      </c>
      <c r="N36" s="182" t="s">
        <v>52</v>
      </c>
      <c r="O36" s="185">
        <f t="shared" si="1"/>
        <v>0.96</v>
      </c>
    </row>
    <row r="37" spans="7:15" ht="16.5" thickBot="1" x14ac:dyDescent="0.3">
      <c r="G37" s="176" t="s">
        <v>101</v>
      </c>
      <c r="H37" s="177">
        <v>0.96</v>
      </c>
      <c r="I37" s="178">
        <v>0.88</v>
      </c>
      <c r="J37" s="179">
        <v>0.91999999999999993</v>
      </c>
      <c r="N37" s="182" t="s">
        <v>97</v>
      </c>
      <c r="O37" s="185">
        <f t="shared" si="1"/>
        <v>0.96</v>
      </c>
    </row>
    <row r="38" spans="7:15" ht="16.5" thickBot="1" x14ac:dyDescent="0.3">
      <c r="G38" s="176" t="s">
        <v>97</v>
      </c>
      <c r="H38" s="177">
        <v>0.96</v>
      </c>
      <c r="I38" s="178">
        <v>0.88</v>
      </c>
      <c r="J38" s="179">
        <v>0.91999999999999993</v>
      </c>
      <c r="N38" s="182" t="s">
        <v>114</v>
      </c>
      <c r="O38" s="185">
        <f t="shared" si="1"/>
        <v>0.96</v>
      </c>
    </row>
    <row r="39" spans="7:15" ht="16.5" thickBot="1" x14ac:dyDescent="0.3">
      <c r="G39" s="176" t="s">
        <v>89</v>
      </c>
      <c r="H39" s="177">
        <v>0.96</v>
      </c>
      <c r="I39" s="178">
        <v>0.88</v>
      </c>
      <c r="J39" s="179">
        <v>0.91999999999999993</v>
      </c>
      <c r="N39" s="182" t="s">
        <v>104</v>
      </c>
      <c r="O39" s="185">
        <f t="shared" si="1"/>
        <v>0.96</v>
      </c>
    </row>
    <row r="40" spans="7:15" ht="16.5" thickBot="1" x14ac:dyDescent="0.3">
      <c r="G40" s="176" t="s">
        <v>90</v>
      </c>
      <c r="H40" s="177">
        <v>0.96</v>
      </c>
      <c r="I40" s="178">
        <v>0.88</v>
      </c>
      <c r="J40" s="179">
        <v>0.91999999999999993</v>
      </c>
      <c r="N40" s="182" t="s">
        <v>98</v>
      </c>
      <c r="O40" s="185">
        <f t="shared" si="1"/>
        <v>0.96</v>
      </c>
    </row>
    <row r="41" spans="7:15" ht="16.5" thickBot="1" x14ac:dyDescent="0.3">
      <c r="G41" s="176" t="s">
        <v>93</v>
      </c>
      <c r="H41" s="177">
        <v>0.96</v>
      </c>
      <c r="I41" s="178">
        <v>0.88</v>
      </c>
      <c r="J41" s="179">
        <v>0.91999999999999993</v>
      </c>
      <c r="N41" s="182" t="s">
        <v>89</v>
      </c>
      <c r="O41" s="185">
        <f t="shared" si="1"/>
        <v>0.96</v>
      </c>
    </row>
    <row r="42" spans="7:15" ht="16.5" thickBot="1" x14ac:dyDescent="0.3">
      <c r="G42" s="176" t="s">
        <v>104</v>
      </c>
      <c r="H42" s="177">
        <v>0.96</v>
      </c>
      <c r="I42" s="178">
        <v>0.84</v>
      </c>
      <c r="J42" s="179">
        <v>0.89999999999999991</v>
      </c>
      <c r="N42" s="182" t="s">
        <v>45</v>
      </c>
      <c r="O42" s="185">
        <f t="shared" si="1"/>
        <v>0.96</v>
      </c>
    </row>
    <row r="43" spans="7:15" ht="16.5" thickBot="1" x14ac:dyDescent="0.3">
      <c r="G43" s="176" t="s">
        <v>109</v>
      </c>
      <c r="H43" s="177">
        <v>0.96</v>
      </c>
      <c r="I43" s="178">
        <v>0.8</v>
      </c>
      <c r="J43" s="179">
        <v>0.88</v>
      </c>
      <c r="N43" s="182" t="s">
        <v>76</v>
      </c>
      <c r="O43" s="185">
        <f t="shared" si="1"/>
        <v>0.96</v>
      </c>
    </row>
    <row r="44" spans="7:15" ht="16.5" thickBot="1" x14ac:dyDescent="0.3">
      <c r="G44" s="176" t="s">
        <v>114</v>
      </c>
      <c r="H44" s="177">
        <v>0.96</v>
      </c>
      <c r="I44" s="178">
        <v>0.8</v>
      </c>
      <c r="J44" s="179">
        <v>0.88</v>
      </c>
      <c r="N44" s="182" t="s">
        <v>90</v>
      </c>
      <c r="O44" s="185">
        <f t="shared" si="1"/>
        <v>0.96</v>
      </c>
    </row>
    <row r="45" spans="7:15" ht="16.5" thickBot="1" x14ac:dyDescent="0.3">
      <c r="G45" s="176" t="s">
        <v>108</v>
      </c>
      <c r="H45" s="177">
        <v>0.96</v>
      </c>
      <c r="I45" s="178">
        <v>0.8</v>
      </c>
      <c r="J45" s="179">
        <v>0.88</v>
      </c>
      <c r="N45" s="182" t="s">
        <v>47</v>
      </c>
      <c r="O45" s="185">
        <f t="shared" si="1"/>
        <v>0.96</v>
      </c>
    </row>
    <row r="46" spans="7:15" ht="16.5" thickBot="1" x14ac:dyDescent="0.3">
      <c r="G46" s="176" t="s">
        <v>117</v>
      </c>
      <c r="H46" s="177">
        <v>0.96</v>
      </c>
      <c r="I46" s="178">
        <v>0.8</v>
      </c>
      <c r="J46" s="179">
        <v>0.88</v>
      </c>
      <c r="N46" s="182" t="s">
        <v>67</v>
      </c>
      <c r="O46" s="185">
        <f t="shared" si="1"/>
        <v>0.96</v>
      </c>
    </row>
    <row r="47" spans="7:15" ht="16.5" thickBot="1" x14ac:dyDescent="0.3">
      <c r="G47" s="176" t="s">
        <v>119</v>
      </c>
      <c r="H47" s="177">
        <v>0.96</v>
      </c>
      <c r="I47" s="178">
        <v>0.8</v>
      </c>
      <c r="J47" s="179">
        <v>0.88</v>
      </c>
      <c r="N47" s="182" t="s">
        <v>117</v>
      </c>
      <c r="O47" s="185">
        <f t="shared" si="1"/>
        <v>0.96</v>
      </c>
    </row>
    <row r="48" spans="7:15" ht="16.5" thickBot="1" x14ac:dyDescent="0.3">
      <c r="G48" s="176" t="s">
        <v>57</v>
      </c>
      <c r="H48" s="177">
        <v>0.95</v>
      </c>
      <c r="I48" s="178">
        <v>1</v>
      </c>
      <c r="J48" s="179">
        <v>0.97499999999999998</v>
      </c>
      <c r="N48" s="182" t="s">
        <v>93</v>
      </c>
      <c r="O48" s="185">
        <f t="shared" si="1"/>
        <v>0.96</v>
      </c>
    </row>
    <row r="49" spans="7:15" ht="16.5" thickBot="1" x14ac:dyDescent="0.3">
      <c r="G49" s="176" t="s">
        <v>54</v>
      </c>
      <c r="H49" s="177">
        <v>0.95</v>
      </c>
      <c r="I49" s="178">
        <v>1</v>
      </c>
      <c r="J49" s="179">
        <v>0.97499999999999998</v>
      </c>
      <c r="N49" s="182" t="s">
        <v>81</v>
      </c>
      <c r="O49" s="185">
        <f t="shared" si="1"/>
        <v>0.95</v>
      </c>
    </row>
    <row r="50" spans="7:15" ht="16.5" thickBot="1" x14ac:dyDescent="0.3">
      <c r="G50" s="176" t="s">
        <v>63</v>
      </c>
      <c r="H50" s="177">
        <v>0.95</v>
      </c>
      <c r="I50" s="178">
        <v>0.96</v>
      </c>
      <c r="J50" s="179">
        <v>0.95499999999999996</v>
      </c>
      <c r="N50" s="182" t="s">
        <v>102</v>
      </c>
      <c r="O50" s="185">
        <f t="shared" si="1"/>
        <v>0.95</v>
      </c>
    </row>
    <row r="51" spans="7:15" ht="16.5" thickBot="1" x14ac:dyDescent="0.3">
      <c r="G51" s="176" t="s">
        <v>65</v>
      </c>
      <c r="H51" s="177">
        <v>0.95</v>
      </c>
      <c r="I51" s="178">
        <v>0.96</v>
      </c>
      <c r="J51" s="179">
        <v>0.95499999999999996</v>
      </c>
      <c r="N51" s="182" t="s">
        <v>106</v>
      </c>
      <c r="O51" s="185">
        <f t="shared" si="1"/>
        <v>0.95</v>
      </c>
    </row>
    <row r="52" spans="7:15" ht="16.5" thickBot="1" x14ac:dyDescent="0.3">
      <c r="G52" s="176" t="s">
        <v>88</v>
      </c>
      <c r="H52" s="177">
        <v>0.95</v>
      </c>
      <c r="I52" s="178">
        <v>0.88</v>
      </c>
      <c r="J52" s="179">
        <v>0.91500000000000004</v>
      </c>
      <c r="N52" s="182" t="s">
        <v>65</v>
      </c>
      <c r="O52" s="185">
        <f t="shared" si="1"/>
        <v>0.95</v>
      </c>
    </row>
    <row r="53" spans="7:15" ht="16.5" thickBot="1" x14ac:dyDescent="0.3">
      <c r="G53" s="176" t="s">
        <v>81</v>
      </c>
      <c r="H53" s="177">
        <v>0.95</v>
      </c>
      <c r="I53" s="178">
        <v>0.88</v>
      </c>
      <c r="J53" s="179">
        <v>0.91500000000000004</v>
      </c>
      <c r="N53" s="182" t="s">
        <v>63</v>
      </c>
      <c r="O53" s="185">
        <f t="shared" si="1"/>
        <v>0.95</v>
      </c>
    </row>
    <row r="54" spans="7:15" ht="16.5" thickBot="1" x14ac:dyDescent="0.3">
      <c r="G54" s="176" t="s">
        <v>84</v>
      </c>
      <c r="H54" s="177">
        <v>0.95</v>
      </c>
      <c r="I54" s="178">
        <v>0.88</v>
      </c>
      <c r="J54" s="179">
        <v>0.91500000000000004</v>
      </c>
      <c r="N54" s="182" t="s">
        <v>107</v>
      </c>
      <c r="O54" s="185">
        <f t="shared" ref="O54:O82" si="2">VLOOKUP(N54,G:H,2,0)</f>
        <v>0.95</v>
      </c>
    </row>
    <row r="55" spans="7:15" ht="16.5" thickBot="1" x14ac:dyDescent="0.3">
      <c r="G55" s="176" t="s">
        <v>99</v>
      </c>
      <c r="H55" s="177">
        <v>0.95</v>
      </c>
      <c r="I55" s="178">
        <v>0.88</v>
      </c>
      <c r="J55" s="179">
        <v>0.91500000000000004</v>
      </c>
      <c r="N55" s="182" t="s">
        <v>54</v>
      </c>
      <c r="O55" s="185">
        <f t="shared" si="2"/>
        <v>0.95</v>
      </c>
    </row>
    <row r="56" spans="7:15" ht="16.5" thickBot="1" x14ac:dyDescent="0.3">
      <c r="G56" s="176" t="s">
        <v>102</v>
      </c>
      <c r="H56" s="177">
        <v>0.95</v>
      </c>
      <c r="I56" s="178">
        <v>0.88</v>
      </c>
      <c r="J56" s="179">
        <v>0.91500000000000004</v>
      </c>
      <c r="N56" s="182" t="s">
        <v>88</v>
      </c>
      <c r="O56" s="185">
        <f t="shared" si="2"/>
        <v>0.95</v>
      </c>
    </row>
    <row r="57" spans="7:15" ht="16.5" thickBot="1" x14ac:dyDescent="0.3">
      <c r="G57" s="176" t="s">
        <v>106</v>
      </c>
      <c r="H57" s="177">
        <v>0.95</v>
      </c>
      <c r="I57" s="178">
        <v>0.84</v>
      </c>
      <c r="J57" s="179">
        <v>0.89500000000000002</v>
      </c>
      <c r="N57" s="182" t="s">
        <v>84</v>
      </c>
      <c r="O57" s="185">
        <f t="shared" si="2"/>
        <v>0.95</v>
      </c>
    </row>
    <row r="58" spans="7:15" ht="16.5" thickBot="1" x14ac:dyDescent="0.3">
      <c r="G58" s="176" t="s">
        <v>107</v>
      </c>
      <c r="H58" s="177">
        <v>0.95</v>
      </c>
      <c r="I58" s="178">
        <v>0.84</v>
      </c>
      <c r="J58" s="179">
        <v>0.89500000000000002</v>
      </c>
      <c r="N58" s="182" t="s">
        <v>99</v>
      </c>
      <c r="O58" s="185">
        <f t="shared" si="2"/>
        <v>0.95</v>
      </c>
    </row>
    <row r="59" spans="7:15" ht="16.5" thickBot="1" x14ac:dyDescent="0.3">
      <c r="G59" s="176" t="s">
        <v>44</v>
      </c>
      <c r="H59" s="177">
        <v>0.94</v>
      </c>
      <c r="I59" s="178">
        <v>1</v>
      </c>
      <c r="J59" s="179">
        <v>0.97</v>
      </c>
      <c r="N59" s="182" t="s">
        <v>57</v>
      </c>
      <c r="O59" s="185">
        <f t="shared" si="2"/>
        <v>0.95</v>
      </c>
    </row>
    <row r="60" spans="7:15" ht="16.5" thickBot="1" x14ac:dyDescent="0.3">
      <c r="G60" s="176" t="s">
        <v>48</v>
      </c>
      <c r="H60" s="177">
        <v>0.94</v>
      </c>
      <c r="I60" s="178">
        <v>1</v>
      </c>
      <c r="J60" s="179">
        <v>0.97</v>
      </c>
      <c r="N60" s="182" t="s">
        <v>48</v>
      </c>
      <c r="O60" s="185">
        <f t="shared" si="2"/>
        <v>0.94</v>
      </c>
    </row>
    <row r="61" spans="7:15" ht="16.5" thickBot="1" x14ac:dyDescent="0.3">
      <c r="G61" s="176" t="s">
        <v>56</v>
      </c>
      <c r="H61" s="177">
        <v>0.94</v>
      </c>
      <c r="I61" s="178">
        <v>1</v>
      </c>
      <c r="J61" s="179">
        <v>0.97</v>
      </c>
      <c r="N61" s="182" t="s">
        <v>115</v>
      </c>
      <c r="O61" s="185">
        <f t="shared" si="2"/>
        <v>0.94</v>
      </c>
    </row>
    <row r="62" spans="7:15" ht="16.5" thickBot="1" x14ac:dyDescent="0.3">
      <c r="G62" s="176" t="s">
        <v>62</v>
      </c>
      <c r="H62" s="177">
        <v>0.94</v>
      </c>
      <c r="I62" s="178">
        <v>1</v>
      </c>
      <c r="J62" s="179">
        <v>0.97</v>
      </c>
      <c r="N62" s="182" t="s">
        <v>64</v>
      </c>
      <c r="O62" s="185">
        <f t="shared" si="2"/>
        <v>0.94</v>
      </c>
    </row>
    <row r="63" spans="7:15" ht="16.5" thickBot="1" x14ac:dyDescent="0.3">
      <c r="G63" s="176" t="s">
        <v>58</v>
      </c>
      <c r="H63" s="177">
        <v>0.94</v>
      </c>
      <c r="I63" s="178">
        <v>1</v>
      </c>
      <c r="J63" s="179">
        <v>0.97</v>
      </c>
      <c r="N63" s="182" t="s">
        <v>58</v>
      </c>
      <c r="O63" s="185">
        <f t="shared" si="2"/>
        <v>0.94</v>
      </c>
    </row>
    <row r="64" spans="7:15" ht="16.5" thickBot="1" x14ac:dyDescent="0.3">
      <c r="G64" s="176" t="s">
        <v>64</v>
      </c>
      <c r="H64" s="177">
        <v>0.94</v>
      </c>
      <c r="I64" s="178">
        <v>0.96</v>
      </c>
      <c r="J64" s="179">
        <v>0.95</v>
      </c>
      <c r="N64" s="182" t="s">
        <v>118</v>
      </c>
      <c r="O64" s="185">
        <f t="shared" si="2"/>
        <v>0.94</v>
      </c>
    </row>
    <row r="65" spans="7:15" ht="16.5" thickBot="1" x14ac:dyDescent="0.3">
      <c r="G65" s="176" t="s">
        <v>96</v>
      </c>
      <c r="H65" s="177">
        <v>0.94</v>
      </c>
      <c r="I65" s="178">
        <v>0.88</v>
      </c>
      <c r="J65" s="179">
        <v>0.90999999999999992</v>
      </c>
      <c r="N65" s="182" t="s">
        <v>86</v>
      </c>
      <c r="O65" s="185">
        <f t="shared" si="2"/>
        <v>0.94</v>
      </c>
    </row>
    <row r="66" spans="7:15" ht="16.5" thickBot="1" x14ac:dyDescent="0.3">
      <c r="G66" s="176" t="s">
        <v>86</v>
      </c>
      <c r="H66" s="177">
        <v>0.94</v>
      </c>
      <c r="I66" s="178">
        <v>0.88</v>
      </c>
      <c r="J66" s="179">
        <v>0.90999999999999992</v>
      </c>
      <c r="N66" s="182" t="s">
        <v>96</v>
      </c>
      <c r="O66" s="185">
        <f t="shared" si="2"/>
        <v>0.94</v>
      </c>
    </row>
    <row r="67" spans="7:15" ht="16.5" thickBot="1" x14ac:dyDescent="0.3">
      <c r="G67" s="176" t="s">
        <v>87</v>
      </c>
      <c r="H67" s="177">
        <v>0.94</v>
      </c>
      <c r="I67" s="178">
        <v>0.88</v>
      </c>
      <c r="J67" s="179">
        <v>0.90999999999999992</v>
      </c>
      <c r="N67" s="182" t="s">
        <v>44</v>
      </c>
      <c r="O67" s="185">
        <f t="shared" si="2"/>
        <v>0.94</v>
      </c>
    </row>
    <row r="68" spans="7:15" ht="16.5" thickBot="1" x14ac:dyDescent="0.3">
      <c r="G68" s="176" t="s">
        <v>115</v>
      </c>
      <c r="H68" s="177">
        <v>0.94</v>
      </c>
      <c r="I68" s="178">
        <v>0.8</v>
      </c>
      <c r="J68" s="179">
        <v>0.87</v>
      </c>
      <c r="N68" s="182" t="s">
        <v>56</v>
      </c>
      <c r="O68" s="185">
        <f t="shared" si="2"/>
        <v>0.94</v>
      </c>
    </row>
    <row r="69" spans="7:15" ht="16.5" thickBot="1" x14ac:dyDescent="0.3">
      <c r="G69" s="176" t="s">
        <v>118</v>
      </c>
      <c r="H69" s="177">
        <v>0.94</v>
      </c>
      <c r="I69" s="178">
        <v>0.8</v>
      </c>
      <c r="J69" s="179">
        <v>0.87</v>
      </c>
      <c r="N69" s="182" t="s">
        <v>62</v>
      </c>
      <c r="O69" s="185">
        <f t="shared" si="2"/>
        <v>0.94</v>
      </c>
    </row>
    <row r="70" spans="7:15" ht="16.5" thickBot="1" x14ac:dyDescent="0.3">
      <c r="G70" s="176" t="s">
        <v>46</v>
      </c>
      <c r="H70" s="177">
        <v>0.93</v>
      </c>
      <c r="I70" s="178">
        <v>1</v>
      </c>
      <c r="J70" s="179">
        <v>0.96500000000000008</v>
      </c>
      <c r="N70" s="182" t="s">
        <v>95</v>
      </c>
      <c r="O70" s="185">
        <f t="shared" si="2"/>
        <v>0.93</v>
      </c>
    </row>
    <row r="71" spans="7:15" ht="16.5" thickBot="1" x14ac:dyDescent="0.3">
      <c r="G71" s="176" t="s">
        <v>79</v>
      </c>
      <c r="H71" s="177">
        <v>0.93</v>
      </c>
      <c r="I71" s="178">
        <v>0.92</v>
      </c>
      <c r="J71" s="179">
        <v>0.92500000000000004</v>
      </c>
      <c r="N71" s="182" t="s">
        <v>110</v>
      </c>
      <c r="O71" s="185">
        <f t="shared" si="2"/>
        <v>0.93</v>
      </c>
    </row>
    <row r="72" spans="7:15" ht="16.5" thickBot="1" x14ac:dyDescent="0.3">
      <c r="G72" s="176" t="s">
        <v>95</v>
      </c>
      <c r="H72" s="177">
        <v>0.93</v>
      </c>
      <c r="I72" s="178">
        <v>0.88</v>
      </c>
      <c r="J72" s="179">
        <v>0.90500000000000003</v>
      </c>
      <c r="N72" s="182" t="s">
        <v>46</v>
      </c>
      <c r="O72" s="185">
        <f t="shared" si="2"/>
        <v>0.93</v>
      </c>
    </row>
    <row r="73" spans="7:15" ht="16.5" thickBot="1" x14ac:dyDescent="0.3">
      <c r="G73" s="176" t="s">
        <v>110</v>
      </c>
      <c r="H73" s="177">
        <v>0.93</v>
      </c>
      <c r="I73" s="178">
        <v>0.84</v>
      </c>
      <c r="J73" s="179">
        <v>0.88500000000000001</v>
      </c>
      <c r="N73" s="182" t="s">
        <v>79</v>
      </c>
      <c r="O73" s="185">
        <f t="shared" si="2"/>
        <v>0.93</v>
      </c>
    </row>
    <row r="74" spans="7:15" ht="16.5" thickBot="1" x14ac:dyDescent="0.3">
      <c r="G74" s="176" t="s">
        <v>49</v>
      </c>
      <c r="H74" s="177">
        <v>0.92</v>
      </c>
      <c r="I74" s="178">
        <v>1</v>
      </c>
      <c r="J74" s="179">
        <v>0.96</v>
      </c>
      <c r="N74" s="182" t="s">
        <v>49</v>
      </c>
      <c r="O74" s="185">
        <f t="shared" si="2"/>
        <v>0.92</v>
      </c>
    </row>
    <row r="75" spans="7:15" ht="16.5" thickBot="1" x14ac:dyDescent="0.3">
      <c r="G75" s="176" t="s">
        <v>50</v>
      </c>
      <c r="H75" s="177">
        <v>0.92</v>
      </c>
      <c r="I75" s="178">
        <v>1</v>
      </c>
      <c r="J75" s="179">
        <v>0.96</v>
      </c>
      <c r="N75" s="182" t="s">
        <v>50</v>
      </c>
      <c r="O75" s="185">
        <f t="shared" si="2"/>
        <v>0.92</v>
      </c>
    </row>
    <row r="76" spans="7:15" ht="16.5" thickBot="1" x14ac:dyDescent="0.3">
      <c r="G76" s="176" t="s">
        <v>51</v>
      </c>
      <c r="H76" s="177">
        <v>0.92</v>
      </c>
      <c r="I76" s="178">
        <v>1</v>
      </c>
      <c r="J76" s="179">
        <v>0.96</v>
      </c>
      <c r="N76" s="182" t="s">
        <v>51</v>
      </c>
      <c r="O76" s="185">
        <f t="shared" si="2"/>
        <v>0.92</v>
      </c>
    </row>
    <row r="77" spans="7:15" ht="16.5" thickBot="1" x14ac:dyDescent="0.3">
      <c r="G77" s="176" t="s">
        <v>59</v>
      </c>
      <c r="H77" s="177">
        <v>0.91</v>
      </c>
      <c r="I77" s="178">
        <v>1</v>
      </c>
      <c r="J77" s="179">
        <v>0.95500000000000007</v>
      </c>
      <c r="N77" s="182" t="s">
        <v>59</v>
      </c>
      <c r="O77" s="185">
        <f t="shared" si="2"/>
        <v>0.91</v>
      </c>
    </row>
    <row r="78" spans="7:15" ht="16.5" thickBot="1" x14ac:dyDescent="0.3">
      <c r="G78" s="176" t="s">
        <v>120</v>
      </c>
      <c r="H78" s="177">
        <v>0.91</v>
      </c>
      <c r="I78" s="178">
        <v>0.8</v>
      </c>
      <c r="J78" s="179">
        <v>0.85499999999999998</v>
      </c>
      <c r="N78" s="182" t="s">
        <v>120</v>
      </c>
      <c r="O78" s="185">
        <f t="shared" si="2"/>
        <v>0.91</v>
      </c>
    </row>
    <row r="79" spans="7:15" ht="16.5" thickBot="1" x14ac:dyDescent="0.3">
      <c r="G79" s="176" t="s">
        <v>53</v>
      </c>
      <c r="H79" s="177">
        <v>0.9</v>
      </c>
      <c r="I79" s="178">
        <v>1</v>
      </c>
      <c r="J79" s="179">
        <v>0.95</v>
      </c>
      <c r="N79" s="182" t="s">
        <v>53</v>
      </c>
      <c r="O79" s="185">
        <f t="shared" si="2"/>
        <v>0.9</v>
      </c>
    </row>
    <row r="80" spans="7:15" ht="16.5" thickBot="1" x14ac:dyDescent="0.3">
      <c r="G80" s="176" t="s">
        <v>66</v>
      </c>
      <c r="H80" s="177">
        <v>0.9</v>
      </c>
      <c r="I80" s="178">
        <v>0.96</v>
      </c>
      <c r="J80" s="179">
        <v>0.92999999999999994</v>
      </c>
      <c r="N80" s="182" t="s">
        <v>66</v>
      </c>
      <c r="O80" s="185">
        <f t="shared" si="2"/>
        <v>0.9</v>
      </c>
    </row>
    <row r="81" spans="7:15" ht="16.5" thickBot="1" x14ac:dyDescent="0.3">
      <c r="G81" s="176" t="s">
        <v>55</v>
      </c>
      <c r="H81" s="177">
        <v>0.86</v>
      </c>
      <c r="I81" s="178">
        <v>1</v>
      </c>
      <c r="J81" s="179">
        <v>0.92999999999999994</v>
      </c>
      <c r="N81" s="182" t="s">
        <v>55</v>
      </c>
      <c r="O81" s="185">
        <f t="shared" si="2"/>
        <v>0.86</v>
      </c>
    </row>
    <row r="82" spans="7:15" ht="16.5" thickBot="1" x14ac:dyDescent="0.3">
      <c r="G82" s="176" t="s">
        <v>60</v>
      </c>
      <c r="H82" s="177">
        <v>0.85</v>
      </c>
      <c r="I82" s="178">
        <v>1</v>
      </c>
      <c r="J82" s="179">
        <v>0.92500000000000004</v>
      </c>
      <c r="N82" s="182" t="s">
        <v>60</v>
      </c>
      <c r="O82" s="185">
        <f t="shared" si="2"/>
        <v>0.85</v>
      </c>
    </row>
  </sheetData>
  <sortState ref="N2:O82">
    <sortCondition descending="1" ref="O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70" zoomScaleNormal="70" workbookViewId="0">
      <selection sqref="A1:XFD1048576"/>
    </sheetView>
  </sheetViews>
  <sheetFormatPr defaultRowHeight="15.75" x14ac:dyDescent="0.25"/>
  <cols>
    <col min="1" max="1" width="21.5703125" style="202" customWidth="1"/>
    <col min="2" max="2" width="69.85546875" customWidth="1"/>
    <col min="3" max="10" width="31.28515625" customWidth="1"/>
    <col min="11" max="11" width="15.85546875" style="318" customWidth="1"/>
    <col min="12" max="12" width="17.5703125" bestFit="1" customWidth="1"/>
    <col min="13" max="13" width="12.7109375" bestFit="1" customWidth="1"/>
  </cols>
  <sheetData>
    <row r="1" spans="1:13" ht="28.5" customHeight="1" x14ac:dyDescent="0.25">
      <c r="A1" s="660" t="s">
        <v>196</v>
      </c>
      <c r="B1" s="660"/>
      <c r="C1" s="660"/>
      <c r="D1" s="660"/>
      <c r="E1" s="660"/>
      <c r="F1" s="660"/>
      <c r="G1" s="660"/>
      <c r="H1" s="660"/>
    </row>
    <row r="2" spans="1:13" ht="21" x14ac:dyDescent="0.25">
      <c r="A2" s="192"/>
      <c r="B2" s="2"/>
      <c r="C2" s="2"/>
      <c r="D2" s="2"/>
      <c r="E2" s="2"/>
      <c r="F2" s="2"/>
      <c r="G2" s="1"/>
      <c r="H2" s="70"/>
    </row>
    <row r="3" spans="1:13" ht="26.25" x14ac:dyDescent="0.25">
      <c r="A3" s="236" t="s">
        <v>1</v>
      </c>
      <c r="B3" s="4"/>
      <c r="C3" s="4"/>
      <c r="D3" s="4"/>
      <c r="E3" s="4"/>
      <c r="F3" s="4"/>
      <c r="G3" s="1"/>
      <c r="H3" s="70"/>
    </row>
    <row r="4" spans="1:13" ht="65.25" customHeight="1" x14ac:dyDescent="0.25">
      <c r="A4" s="726" t="s">
        <v>2</v>
      </c>
      <c r="B4" s="726"/>
      <c r="C4" s="311" t="s">
        <v>3</v>
      </c>
      <c r="D4" s="311" t="s">
        <v>229</v>
      </c>
      <c r="E4" s="311" t="s">
        <v>230</v>
      </c>
      <c r="F4" s="311" t="s">
        <v>231</v>
      </c>
      <c r="G4" s="312" t="s">
        <v>178</v>
      </c>
      <c r="H4" s="312" t="s">
        <v>37</v>
      </c>
      <c r="I4" s="313" t="s">
        <v>208</v>
      </c>
      <c r="J4" s="313" t="s">
        <v>205</v>
      </c>
    </row>
    <row r="5" spans="1:13" s="233" customFormat="1" ht="33.75" customHeight="1" x14ac:dyDescent="0.45">
      <c r="A5" s="229"/>
      <c r="B5" s="230"/>
      <c r="C5" s="231"/>
      <c r="D5" s="231"/>
      <c r="E5" s="231"/>
      <c r="F5" s="231"/>
      <c r="G5" s="147">
        <v>0.93</v>
      </c>
      <c r="H5" s="232"/>
      <c r="I5" s="276"/>
      <c r="J5" s="276"/>
      <c r="K5" s="318"/>
    </row>
    <row r="6" spans="1:13" s="233" customFormat="1" ht="30" customHeight="1" x14ac:dyDescent="0.45">
      <c r="A6" s="727" t="s">
        <v>11</v>
      </c>
      <c r="B6" s="28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8">
        <f t="shared" ref="G6:G27" si="0">D6+E6*$G$5*H6</f>
        <v>13000</v>
      </c>
      <c r="H6" s="314">
        <f t="shared" ref="H6:H27" si="1">((J6-D6)/(F6-D6))/0.93</f>
        <v>0.37208503599363635</v>
      </c>
      <c r="I6" s="284"/>
      <c r="J6" s="284">
        <v>13000</v>
      </c>
      <c r="K6" s="320">
        <f>(J6-D6)*0.93</f>
        <v>5895.27</v>
      </c>
      <c r="L6" s="321">
        <f>K6/E6</f>
        <v>0.32181634763089606</v>
      </c>
      <c r="M6" s="233">
        <f>(J6-D6)/((F6-D6)*0.93)</f>
        <v>0.37208503599363629</v>
      </c>
    </row>
    <row r="7" spans="1:13" s="233" customFormat="1" ht="30" customHeight="1" x14ac:dyDescent="0.45">
      <c r="A7" s="728"/>
      <c r="B7" s="28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8">
        <f t="shared" si="0"/>
        <v>8500</v>
      </c>
      <c r="H7" s="314">
        <f t="shared" si="1"/>
        <v>0.10794516188551777</v>
      </c>
      <c r="I7" s="284"/>
      <c r="J7" s="284">
        <v>8500</v>
      </c>
      <c r="K7" s="318"/>
    </row>
    <row r="8" spans="1:13" s="233" customFormat="1" ht="30" customHeight="1" x14ac:dyDescent="0.45">
      <c r="A8" s="728"/>
      <c r="B8" s="227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4">
        <f t="shared" si="0"/>
        <v>7066</v>
      </c>
      <c r="H8" s="314">
        <f t="shared" si="1"/>
        <v>2.3772588669730668E-2</v>
      </c>
      <c r="I8" s="277"/>
      <c r="J8" s="277">
        <v>7066</v>
      </c>
      <c r="K8" s="318"/>
    </row>
    <row r="9" spans="1:13" s="233" customFormat="1" ht="30" customHeight="1" x14ac:dyDescent="0.45">
      <c r="A9" s="728"/>
      <c r="B9" s="287" t="s">
        <v>32</v>
      </c>
      <c r="C9" s="283">
        <v>400</v>
      </c>
      <c r="D9" s="238">
        <v>6661</v>
      </c>
      <c r="E9" s="238">
        <v>13322.72</v>
      </c>
      <c r="F9" s="238">
        <f t="shared" ref="F9:F55" si="2">D9+E9</f>
        <v>19983.72</v>
      </c>
      <c r="G9" s="238">
        <f t="shared" si="0"/>
        <v>9500</v>
      </c>
      <c r="H9" s="314">
        <f t="shared" si="1"/>
        <v>0.22913400357006755</v>
      </c>
      <c r="I9" s="284"/>
      <c r="J9" s="284">
        <v>9500</v>
      </c>
      <c r="K9" s="318"/>
    </row>
    <row r="10" spans="1:13" s="233" customFormat="1" ht="30" customHeight="1" x14ac:dyDescent="0.45">
      <c r="A10" s="728"/>
      <c r="B10" s="287" t="s">
        <v>233</v>
      </c>
      <c r="C10" s="283">
        <v>400</v>
      </c>
      <c r="D10" s="238">
        <v>6661</v>
      </c>
      <c r="E10" s="238">
        <v>13322.72</v>
      </c>
      <c r="F10" s="238">
        <f t="shared" ref="F10" si="3">D10+E10</f>
        <v>19983.72</v>
      </c>
      <c r="G10" s="238">
        <f t="shared" si="0"/>
        <v>0</v>
      </c>
      <c r="H10" s="314">
        <f t="shared" si="1"/>
        <v>-0.53760535321599856</v>
      </c>
      <c r="I10" s="284"/>
      <c r="J10" s="284"/>
      <c r="K10" s="318"/>
    </row>
    <row r="11" spans="1:13" s="233" customFormat="1" ht="30" customHeight="1" x14ac:dyDescent="0.45">
      <c r="A11" s="728"/>
      <c r="B11" s="227" t="s">
        <v>234</v>
      </c>
      <c r="C11" s="231">
        <v>300</v>
      </c>
      <c r="D11" s="238">
        <v>6661</v>
      </c>
      <c r="E11" s="234">
        <v>9992.0399999999991</v>
      </c>
      <c r="F11" s="234">
        <f t="shared" si="2"/>
        <v>16653.04</v>
      </c>
      <c r="G11" s="234">
        <f t="shared" si="0"/>
        <v>8000</v>
      </c>
      <c r="H11" s="314">
        <f t="shared" si="1"/>
        <v>0.14409319280512878</v>
      </c>
      <c r="I11" s="277"/>
      <c r="J11" s="277">
        <v>8000</v>
      </c>
      <c r="K11" s="318"/>
    </row>
    <row r="12" spans="1:13" s="233" customFormat="1" ht="30" customHeight="1" x14ac:dyDescent="0.45">
      <c r="A12" s="728"/>
      <c r="B12" s="227" t="s">
        <v>236</v>
      </c>
      <c r="C12" s="231">
        <v>300</v>
      </c>
      <c r="D12" s="238">
        <v>6661</v>
      </c>
      <c r="E12" s="234">
        <v>9992.0399999999991</v>
      </c>
      <c r="F12" s="234">
        <f t="shared" ref="F12" si="4">D12+E12</f>
        <v>16653.04</v>
      </c>
      <c r="G12" s="234">
        <f t="shared" si="0"/>
        <v>0</v>
      </c>
      <c r="H12" s="314">
        <f t="shared" si="1"/>
        <v>-0.71680713762133141</v>
      </c>
      <c r="I12" s="277"/>
      <c r="J12" s="277"/>
      <c r="K12" s="318"/>
    </row>
    <row r="13" spans="1:13" s="233" customFormat="1" ht="30" customHeight="1" x14ac:dyDescent="0.45">
      <c r="A13" s="728"/>
      <c r="B13" s="227" t="s">
        <v>235</v>
      </c>
      <c r="C13" s="231">
        <v>300</v>
      </c>
      <c r="D13" s="238">
        <v>6661</v>
      </c>
      <c r="E13" s="234">
        <v>9992.0399999999991</v>
      </c>
      <c r="F13" s="234">
        <f t="shared" ref="F13" si="5">D13+E13</f>
        <v>16653.04</v>
      </c>
      <c r="G13" s="234">
        <f t="shared" si="0"/>
        <v>0</v>
      </c>
      <c r="H13" s="314">
        <f t="shared" si="1"/>
        <v>-0.71680713762133141</v>
      </c>
      <c r="I13" s="277"/>
      <c r="J13" s="277"/>
      <c r="K13" s="318"/>
    </row>
    <row r="14" spans="1:13" s="233" customFormat="1" ht="30" customHeight="1" x14ac:dyDescent="0.45">
      <c r="A14" s="729"/>
      <c r="B14" s="287" t="s">
        <v>216</v>
      </c>
      <c r="C14" s="283">
        <v>300</v>
      </c>
      <c r="D14" s="238">
        <v>6661</v>
      </c>
      <c r="E14" s="238">
        <v>9992.0399999999991</v>
      </c>
      <c r="F14" s="238">
        <f t="shared" si="2"/>
        <v>16653.04</v>
      </c>
      <c r="G14" s="238">
        <f t="shared" si="0"/>
        <v>6400</v>
      </c>
      <c r="H14" s="314">
        <f t="shared" si="1"/>
        <v>-2.8086873280163266E-2</v>
      </c>
      <c r="I14" s="284"/>
      <c r="J14" s="284">
        <v>6400</v>
      </c>
      <c r="K14" s="318"/>
    </row>
    <row r="15" spans="1:13" s="233" customFormat="1" ht="30" customHeight="1" x14ac:dyDescent="0.45">
      <c r="A15" s="730" t="s">
        <v>15</v>
      </c>
      <c r="B15" s="227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2"/>
        <v>24980.1</v>
      </c>
      <c r="G15" s="234">
        <f t="shared" si="0"/>
        <v>12200</v>
      </c>
      <c r="H15" s="314">
        <f t="shared" si="1"/>
        <v>0.3876192976491008</v>
      </c>
      <c r="I15" s="277"/>
      <c r="J15" s="277">
        <v>12200</v>
      </c>
      <c r="K15" s="318"/>
    </row>
    <row r="16" spans="1:13" s="233" customFormat="1" ht="30" customHeight="1" x14ac:dyDescent="0.45">
      <c r="A16" s="730"/>
      <c r="B16" s="227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2"/>
        <v>24980.1</v>
      </c>
      <c r="G16" s="234">
        <f t="shared" si="0"/>
        <v>8000</v>
      </c>
      <c r="H16" s="314">
        <f t="shared" si="1"/>
        <v>0.16163296091215493</v>
      </c>
      <c r="I16" s="277"/>
      <c r="J16" s="277">
        <v>8000</v>
      </c>
      <c r="K16" s="318"/>
    </row>
    <row r="17" spans="1:11" s="233" customFormat="1" ht="30" customHeight="1" x14ac:dyDescent="0.45">
      <c r="A17" s="730"/>
      <c r="B17" s="28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2"/>
        <v>24980.1</v>
      </c>
      <c r="G17" s="238">
        <f t="shared" si="0"/>
        <v>6804</v>
      </c>
      <c r="H17" s="314">
        <f t="shared" si="1"/>
        <v>9.7280661212777009E-2</v>
      </c>
      <c r="I17" s="284"/>
      <c r="J17" s="284">
        <v>6804</v>
      </c>
      <c r="K17" s="318"/>
    </row>
    <row r="18" spans="1:11" s="233" customFormat="1" ht="30" customHeight="1" x14ac:dyDescent="0.45">
      <c r="A18" s="730"/>
      <c r="B18" s="227" t="s">
        <v>32</v>
      </c>
      <c r="C18" s="231">
        <v>450</v>
      </c>
      <c r="D18" s="234">
        <v>4996.0199999999995</v>
      </c>
      <c r="E18" s="234">
        <v>14988.06</v>
      </c>
      <c r="F18" s="234">
        <f t="shared" si="2"/>
        <v>19984.079999999998</v>
      </c>
      <c r="G18" s="234">
        <f t="shared" si="0"/>
        <v>9250</v>
      </c>
      <c r="H18" s="314">
        <f t="shared" si="1"/>
        <v>0.30518773230229623</v>
      </c>
      <c r="I18" s="277"/>
      <c r="J18" s="277">
        <v>9250</v>
      </c>
      <c r="K18" s="318"/>
    </row>
    <row r="19" spans="1:11" s="233" customFormat="1" ht="30" customHeight="1" x14ac:dyDescent="0.45">
      <c r="A19" s="730"/>
      <c r="B19" s="227" t="s">
        <v>237</v>
      </c>
      <c r="C19" s="231">
        <v>450</v>
      </c>
      <c r="D19" s="234">
        <v>4996.0199999999995</v>
      </c>
      <c r="E19" s="234">
        <v>14988.06</v>
      </c>
      <c r="F19" s="234">
        <f t="shared" ref="F19" si="6">D19+E19</f>
        <v>19984.079999999998</v>
      </c>
      <c r="G19" s="234">
        <f t="shared" si="0"/>
        <v>0</v>
      </c>
      <c r="H19" s="314">
        <f t="shared" si="1"/>
        <v>-0.35842293906810035</v>
      </c>
      <c r="I19" s="277"/>
      <c r="J19" s="277"/>
      <c r="K19" s="318"/>
    </row>
    <row r="20" spans="1:11" s="233" customFormat="1" ht="30" customHeight="1" x14ac:dyDescent="0.45">
      <c r="A20" s="730"/>
      <c r="B20" s="28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8">
        <f t="shared" si="0"/>
        <v>7250</v>
      </c>
      <c r="H20" s="314">
        <f t="shared" si="1"/>
        <v>0.24255651584682922</v>
      </c>
      <c r="I20" s="284"/>
      <c r="J20" s="284">
        <v>7250</v>
      </c>
      <c r="K20" s="318"/>
    </row>
    <row r="21" spans="1:11" s="233" customFormat="1" ht="30" customHeight="1" x14ac:dyDescent="0.45">
      <c r="A21" s="730"/>
      <c r="B21" s="28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8">
        <f t="shared" si="0"/>
        <v>0</v>
      </c>
      <c r="H21" s="314">
        <f t="shared" si="1"/>
        <v>-0.53763440860215062</v>
      </c>
      <c r="I21" s="284"/>
      <c r="J21" s="284"/>
      <c r="K21" s="318"/>
    </row>
    <row r="22" spans="1:11" s="233" customFormat="1" ht="30" customHeight="1" x14ac:dyDescent="0.45">
      <c r="A22" s="730"/>
      <c r="B22" s="28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8">
        <f t="shared" si="0"/>
        <v>0</v>
      </c>
      <c r="H22" s="314">
        <f t="shared" si="1"/>
        <v>-0.53763440860215062</v>
      </c>
      <c r="I22" s="284"/>
      <c r="J22" s="284"/>
      <c r="K22" s="318"/>
    </row>
    <row r="23" spans="1:11" s="233" customFormat="1" ht="30" customHeight="1" x14ac:dyDescent="0.45">
      <c r="A23" s="730"/>
      <c r="B23" s="227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4">
        <f t="shared" si="0"/>
        <v>5500</v>
      </c>
      <c r="H23" s="314">
        <f t="shared" si="1"/>
        <v>5.4234568566041003E-2</v>
      </c>
      <c r="I23" s="277"/>
      <c r="J23" s="277">
        <v>5500</v>
      </c>
      <c r="K23" s="318"/>
    </row>
    <row r="24" spans="1:11" s="233" customFormat="1" ht="30" customHeight="1" x14ac:dyDescent="0.45">
      <c r="A24" s="731" t="s">
        <v>172</v>
      </c>
      <c r="B24" s="316" t="s">
        <v>219</v>
      </c>
      <c r="C24" s="317">
        <v>125</v>
      </c>
      <c r="D24" s="238">
        <v>3330.68</v>
      </c>
      <c r="E24" s="238">
        <v>4163.3499999999995</v>
      </c>
      <c r="F24" s="238">
        <f t="shared" ref="F24:F26" si="7">D24+E24</f>
        <v>7494.0299999999988</v>
      </c>
      <c r="G24" s="238">
        <f t="shared" si="0"/>
        <v>5000</v>
      </c>
      <c r="H24" s="314">
        <f t="shared" si="1"/>
        <v>0.4311354418762498</v>
      </c>
      <c r="I24" s="284"/>
      <c r="J24" s="284">
        <v>5000</v>
      </c>
      <c r="K24" s="318"/>
    </row>
    <row r="25" spans="1:11" s="233" customFormat="1" ht="30" customHeight="1" x14ac:dyDescent="0.45">
      <c r="A25" s="732"/>
      <c r="B25" s="275" t="s">
        <v>241</v>
      </c>
      <c r="C25" s="235">
        <v>125</v>
      </c>
      <c r="D25" s="234">
        <v>3330.68</v>
      </c>
      <c r="E25" s="234">
        <v>4163.3499999999995</v>
      </c>
      <c r="F25" s="234">
        <f t="shared" si="7"/>
        <v>7494.0299999999988</v>
      </c>
      <c r="G25" s="234">
        <f t="shared" si="0"/>
        <v>4000</v>
      </c>
      <c r="H25" s="314">
        <f t="shared" si="1"/>
        <v>0.17286534274831164</v>
      </c>
      <c r="I25" s="277"/>
      <c r="J25" s="277">
        <v>4000</v>
      </c>
      <c r="K25" s="318"/>
    </row>
    <row r="26" spans="1:11" s="233" customFormat="1" ht="30" customHeight="1" x14ac:dyDescent="0.45">
      <c r="A26" s="733"/>
      <c r="B26" s="316" t="s">
        <v>198</v>
      </c>
      <c r="C26" s="317">
        <v>125</v>
      </c>
      <c r="D26" s="238">
        <v>3330.68</v>
      </c>
      <c r="E26" s="238">
        <v>4163.3499999999995</v>
      </c>
      <c r="F26" s="238">
        <f t="shared" si="7"/>
        <v>7494.0299999999988</v>
      </c>
      <c r="G26" s="238">
        <f t="shared" si="0"/>
        <v>3500</v>
      </c>
      <c r="H26" s="314">
        <f t="shared" si="1"/>
        <v>4.3730293184342538E-2</v>
      </c>
      <c r="I26" s="284"/>
      <c r="J26" s="284">
        <v>3500</v>
      </c>
      <c r="K26" s="318"/>
    </row>
    <row r="27" spans="1:11" s="233" customFormat="1" ht="28.5" x14ac:dyDescent="0.45">
      <c r="A27" s="725" t="s">
        <v>171</v>
      </c>
      <c r="B27" s="725"/>
      <c r="C27" s="235">
        <v>50</v>
      </c>
      <c r="D27" s="234">
        <v>1665.34</v>
      </c>
      <c r="E27" s="234">
        <v>1665.34</v>
      </c>
      <c r="F27" s="234">
        <f>D27+E27</f>
        <v>3330.68</v>
      </c>
      <c r="G27" s="234">
        <f t="shared" si="0"/>
        <v>1795</v>
      </c>
      <c r="H27" s="314">
        <f t="shared" si="1"/>
        <v>8.3718252632321188E-2</v>
      </c>
      <c r="I27" s="277"/>
      <c r="J27" s="277">
        <v>1795</v>
      </c>
      <c r="K27" s="318"/>
    </row>
    <row r="28" spans="1:11" x14ac:dyDescent="0.25">
      <c r="A28" s="195"/>
      <c r="B28" s="15"/>
      <c r="C28" s="16"/>
      <c r="D28" s="17"/>
      <c r="E28" s="17"/>
      <c r="F28" s="17"/>
      <c r="G28" s="17"/>
      <c r="H28" s="72"/>
    </row>
    <row r="29" spans="1:11" s="226" customFormat="1" ht="23.25" x14ac:dyDescent="0.35">
      <c r="A29" s="261" t="s">
        <v>152</v>
      </c>
      <c r="B29" s="262"/>
      <c r="C29" s="262"/>
      <c r="D29" s="263"/>
      <c r="E29" s="263"/>
      <c r="F29" s="262"/>
      <c r="G29" s="265"/>
      <c r="H29" s="225"/>
      <c r="K29" s="318"/>
    </row>
    <row r="30" spans="1:11" s="226" customFormat="1" ht="23.25" x14ac:dyDescent="0.35">
      <c r="A30" s="266" t="s">
        <v>150</v>
      </c>
      <c r="B30" s="246"/>
      <c r="C30" s="246"/>
      <c r="D30" s="247"/>
      <c r="E30" s="247"/>
      <c r="F30" s="246"/>
      <c r="G30" s="267"/>
      <c r="H30" s="225"/>
      <c r="K30" s="318"/>
    </row>
    <row r="31" spans="1:11" s="226" customFormat="1" ht="23.25" x14ac:dyDescent="0.35">
      <c r="A31" s="198" t="s">
        <v>204</v>
      </c>
      <c r="B31" s="246"/>
      <c r="C31" s="246"/>
      <c r="D31" s="247"/>
      <c r="E31" s="247"/>
      <c r="F31" s="246"/>
      <c r="G31" s="267"/>
      <c r="H31" s="225"/>
      <c r="K31" s="318"/>
    </row>
    <row r="32" spans="1:11" s="226" customFormat="1" ht="23.25" x14ac:dyDescent="0.35">
      <c r="A32" s="198" t="s">
        <v>203</v>
      </c>
      <c r="B32" s="246"/>
      <c r="C32" s="246"/>
      <c r="D32" s="247"/>
      <c r="E32" s="247"/>
      <c r="F32" s="246"/>
      <c r="G32" s="267"/>
      <c r="H32" s="225"/>
      <c r="K32" s="318"/>
    </row>
    <row r="33" spans="1:11" s="226" customFormat="1" ht="23.25" x14ac:dyDescent="0.35">
      <c r="A33" s="268" t="s">
        <v>20</v>
      </c>
      <c r="B33" s="246"/>
      <c r="C33" s="246"/>
      <c r="D33" s="247"/>
      <c r="E33" s="247"/>
      <c r="F33" s="246"/>
      <c r="G33" s="267"/>
      <c r="H33" s="225"/>
      <c r="K33" s="318"/>
    </row>
    <row r="34" spans="1:11" s="226" customFormat="1" ht="23.25" x14ac:dyDescent="0.35">
      <c r="A34" s="268" t="s">
        <v>21</v>
      </c>
      <c r="B34" s="246"/>
      <c r="C34" s="246"/>
      <c r="D34" s="247"/>
      <c r="E34" s="247"/>
      <c r="F34" s="246"/>
      <c r="G34" s="267"/>
      <c r="H34" s="225"/>
      <c r="K34" s="318"/>
    </row>
    <row r="35" spans="1:11" s="226" customFormat="1" ht="23.25" x14ac:dyDescent="0.35">
      <c r="A35" s="269"/>
      <c r="B35" s="246"/>
      <c r="C35" s="246"/>
      <c r="D35" s="247"/>
      <c r="E35" s="247"/>
      <c r="F35" s="246"/>
      <c r="G35" s="267"/>
      <c r="H35" s="225"/>
      <c r="K35" s="318"/>
    </row>
    <row r="36" spans="1:11" s="226" customFormat="1" ht="23.25" x14ac:dyDescent="0.35">
      <c r="A36" s="268" t="s">
        <v>22</v>
      </c>
      <c r="B36" s="246"/>
      <c r="C36" s="246"/>
      <c r="D36" s="247"/>
      <c r="E36" s="247"/>
      <c r="F36" s="246"/>
      <c r="G36" s="267"/>
      <c r="H36" s="225"/>
      <c r="K36" s="318"/>
    </row>
    <row r="37" spans="1:11" s="226" customFormat="1" ht="23.25" x14ac:dyDescent="0.35">
      <c r="A37" s="270"/>
      <c r="B37" s="271"/>
      <c r="C37" s="271"/>
      <c r="D37" s="272"/>
      <c r="E37" s="272"/>
      <c r="F37" s="271"/>
      <c r="G37" s="274"/>
      <c r="H37" s="225"/>
      <c r="K37" s="318"/>
    </row>
    <row r="38" spans="1:11" hidden="1" x14ac:dyDescent="0.25">
      <c r="A38" s="195"/>
      <c r="B38" s="15"/>
      <c r="C38" s="16"/>
      <c r="D38" s="17"/>
      <c r="E38" s="17"/>
      <c r="F38" s="17"/>
      <c r="G38" s="6"/>
      <c r="H38" s="72"/>
    </row>
    <row r="39" spans="1:11" hidden="1" x14ac:dyDescent="0.25">
      <c r="A39" s="195"/>
      <c r="B39" s="15"/>
      <c r="C39" s="16"/>
      <c r="D39" s="17"/>
      <c r="E39" s="17"/>
      <c r="F39" s="17"/>
      <c r="G39" s="6"/>
      <c r="H39" s="72"/>
    </row>
    <row r="40" spans="1:11" hidden="1" x14ac:dyDescent="0.25">
      <c r="A40" s="195"/>
      <c r="B40" s="15"/>
      <c r="C40" s="16"/>
      <c r="D40" s="17"/>
      <c r="E40" s="17"/>
      <c r="F40" s="17"/>
      <c r="G40" s="6"/>
      <c r="H40" s="72"/>
    </row>
    <row r="41" spans="1:11" hidden="1" x14ac:dyDescent="0.25">
      <c r="A41" s="195"/>
      <c r="B41" s="15"/>
      <c r="C41" s="16"/>
      <c r="D41" s="17"/>
      <c r="E41" s="17"/>
      <c r="F41" s="17"/>
      <c r="G41" s="17"/>
      <c r="H41" s="72"/>
    </row>
    <row r="42" spans="1:11" ht="21" hidden="1" customHeight="1" x14ac:dyDescent="0.25">
      <c r="A42" s="193" t="s">
        <v>180</v>
      </c>
      <c r="B42" s="40"/>
      <c r="C42" s="41"/>
      <c r="D42" s="17"/>
      <c r="E42" s="17"/>
      <c r="F42" s="17"/>
      <c r="G42" s="669" t="s">
        <v>177</v>
      </c>
      <c r="H42" s="670" t="s">
        <v>37</v>
      </c>
    </row>
    <row r="43" spans="1:11" ht="37.5" hidden="1" customHeight="1" x14ac:dyDescent="0.25">
      <c r="A43" s="659" t="s">
        <v>2</v>
      </c>
      <c r="B43" s="659"/>
      <c r="C43" s="216" t="s">
        <v>3</v>
      </c>
      <c r="D43" s="216" t="s">
        <v>4</v>
      </c>
      <c r="E43" s="216" t="s">
        <v>5</v>
      </c>
      <c r="F43" s="216" t="s">
        <v>176</v>
      </c>
      <c r="G43" s="669"/>
      <c r="H43" s="671"/>
    </row>
    <row r="44" spans="1:11" ht="22.5" hidden="1" x14ac:dyDescent="0.25">
      <c r="A44" s="214"/>
      <c r="B44" s="215"/>
      <c r="C44" s="5"/>
      <c r="D44" s="5"/>
      <c r="E44" s="5"/>
      <c r="F44" s="5"/>
      <c r="G44" s="73">
        <v>0.94</v>
      </c>
      <c r="H44" s="71"/>
    </row>
    <row r="45" spans="1:11" s="121" customFormat="1" ht="26.25" hidden="1" x14ac:dyDescent="0.3">
      <c r="A45" s="675" t="s">
        <v>28</v>
      </c>
      <c r="B45" s="213" t="s">
        <v>12</v>
      </c>
      <c r="C45" s="143">
        <v>600</v>
      </c>
      <c r="D45" s="144">
        <v>3156.3831833272616</v>
      </c>
      <c r="E45" s="144">
        <v>13075.170826791458</v>
      </c>
      <c r="F45" s="144">
        <f t="shared" si="2"/>
        <v>16231.55401011872</v>
      </c>
      <c r="G45" s="160">
        <f t="shared" ref="G45:G55" si="8">D45+E45*$G$44*H45</f>
        <v>12988.911645074439</v>
      </c>
      <c r="H45" s="224">
        <v>0.8</v>
      </c>
      <c r="K45" s="318"/>
    </row>
    <row r="46" spans="1:11" s="121" customFormat="1" ht="26.25" hidden="1" x14ac:dyDescent="0.3">
      <c r="A46" s="675"/>
      <c r="B46" s="213" t="s">
        <v>13</v>
      </c>
      <c r="C46" s="143">
        <v>450</v>
      </c>
      <c r="D46" s="144">
        <v>3191.9177291590768</v>
      </c>
      <c r="E46" s="144">
        <v>9783.5413668226574</v>
      </c>
      <c r="F46" s="144">
        <f t="shared" si="2"/>
        <v>12975.459095981734</v>
      </c>
      <c r="G46" s="160">
        <f t="shared" si="8"/>
        <v>10089.314392769049</v>
      </c>
      <c r="H46" s="147">
        <v>0.75</v>
      </c>
      <c r="K46" s="318"/>
    </row>
    <row r="47" spans="1:11" s="121" customFormat="1" ht="26.25" hidden="1" x14ac:dyDescent="0.3">
      <c r="A47" s="675"/>
      <c r="B47" s="213" t="s">
        <v>161</v>
      </c>
      <c r="C47" s="143">
        <v>300</v>
      </c>
      <c r="D47" s="144">
        <v>3251.1419722121027</v>
      </c>
      <c r="E47" s="144">
        <v>6462.434266874654</v>
      </c>
      <c r="F47" s="144">
        <f t="shared" si="2"/>
        <v>9713.5762390867567</v>
      </c>
      <c r="G47" s="160">
        <f t="shared" si="8"/>
        <v>7807.1581303587336</v>
      </c>
      <c r="H47" s="147">
        <v>0.75</v>
      </c>
      <c r="K47" s="318"/>
    </row>
    <row r="48" spans="1:11" s="121" customFormat="1" ht="26.25" hidden="1" x14ac:dyDescent="0.3">
      <c r="A48" s="675"/>
      <c r="B48" s="213" t="s">
        <v>163</v>
      </c>
      <c r="C48" s="143">
        <v>300</v>
      </c>
      <c r="D48" s="144">
        <v>3251.1419722121027</v>
      </c>
      <c r="E48" s="144">
        <v>6462.434266874654</v>
      </c>
      <c r="F48" s="144">
        <f t="shared" si="2"/>
        <v>9713.5762390867567</v>
      </c>
      <c r="G48" s="160">
        <f t="shared" si="8"/>
        <v>5377.2828460138644</v>
      </c>
      <c r="H48" s="224">
        <v>0.35</v>
      </c>
      <c r="K48" s="318"/>
    </row>
    <row r="49" spans="1:11" s="121" customFormat="1" ht="26.25" hidden="1" x14ac:dyDescent="0.3">
      <c r="A49" s="675" t="s">
        <v>29</v>
      </c>
      <c r="B49" s="213" t="s">
        <v>12</v>
      </c>
      <c r="C49" s="143">
        <v>600</v>
      </c>
      <c r="D49" s="144">
        <v>3156.3831833272616</v>
      </c>
      <c r="E49" s="144">
        <v>13075.170826791458</v>
      </c>
      <c r="F49" s="144">
        <f t="shared" si="2"/>
        <v>16231.55401011872</v>
      </c>
      <c r="G49" s="160">
        <f t="shared" si="8"/>
        <v>12988.911645074439</v>
      </c>
      <c r="H49" s="224">
        <v>0.8</v>
      </c>
      <c r="K49" s="318"/>
    </row>
    <row r="50" spans="1:11" s="121" customFormat="1" ht="26.25" hidden="1" x14ac:dyDescent="0.3">
      <c r="A50" s="675"/>
      <c r="B50" s="213" t="s">
        <v>13</v>
      </c>
      <c r="C50" s="143">
        <v>450</v>
      </c>
      <c r="D50" s="144">
        <v>3191.9177291590768</v>
      </c>
      <c r="E50" s="144">
        <v>9783.5413668226574</v>
      </c>
      <c r="F50" s="144">
        <f t="shared" si="2"/>
        <v>12975.459095981734</v>
      </c>
      <c r="G50" s="160">
        <f t="shared" si="8"/>
        <v>10089.314392769049</v>
      </c>
      <c r="H50" s="147">
        <v>0.75</v>
      </c>
      <c r="K50" s="318"/>
    </row>
    <row r="51" spans="1:11" s="121" customFormat="1" ht="26.25" hidden="1" x14ac:dyDescent="0.3">
      <c r="A51" s="675"/>
      <c r="B51" s="213" t="s">
        <v>30</v>
      </c>
      <c r="C51" s="143">
        <v>200</v>
      </c>
      <c r="D51" s="144">
        <v>3318.8268214155605</v>
      </c>
      <c r="E51" s="144">
        <v>4213.2704383626515</v>
      </c>
      <c r="F51" s="144">
        <f t="shared" si="2"/>
        <v>7532.097259778212</v>
      </c>
      <c r="G51" s="160">
        <f t="shared" si="8"/>
        <v>6289.1824804612297</v>
      </c>
      <c r="H51" s="147">
        <v>0.75</v>
      </c>
      <c r="K51" s="318"/>
    </row>
    <row r="52" spans="1:11" s="121" customFormat="1" ht="26.25" hidden="1" x14ac:dyDescent="0.3">
      <c r="A52" s="676" t="s">
        <v>31</v>
      </c>
      <c r="B52" s="281" t="s">
        <v>32</v>
      </c>
      <c r="C52" s="151">
        <v>270</v>
      </c>
      <c r="D52" s="144">
        <v>3268.0631845129669</v>
      </c>
      <c r="E52" s="144">
        <v>5791.8962097466519</v>
      </c>
      <c r="F52" s="144">
        <f t="shared" si="2"/>
        <v>9059.9593942596184</v>
      </c>
      <c r="G52" s="160">
        <f t="shared" si="8"/>
        <v>7351.3500123843569</v>
      </c>
      <c r="H52" s="147">
        <v>0.75</v>
      </c>
      <c r="K52" s="318"/>
    </row>
    <row r="53" spans="1:11" s="121" customFormat="1" ht="26.25" hidden="1" x14ac:dyDescent="0.3">
      <c r="A53" s="677"/>
      <c r="B53" s="281" t="s">
        <v>30</v>
      </c>
      <c r="C53" s="151">
        <v>180</v>
      </c>
      <c r="D53" s="144">
        <v>3337.2863257437766</v>
      </c>
      <c r="E53" s="144">
        <v>3757.3124487684686</v>
      </c>
      <c r="F53" s="144">
        <f t="shared" si="2"/>
        <v>7094.5987745122457</v>
      </c>
      <c r="G53" s="160">
        <f t="shared" si="8"/>
        <v>5986.1916021255474</v>
      </c>
      <c r="H53" s="147">
        <v>0.75</v>
      </c>
      <c r="K53" s="318"/>
    </row>
    <row r="54" spans="1:11" s="121" customFormat="1" ht="26.25" hidden="1" x14ac:dyDescent="0.3">
      <c r="A54" s="678" t="s">
        <v>173</v>
      </c>
      <c r="B54" s="678"/>
      <c r="C54" s="152">
        <v>125</v>
      </c>
      <c r="D54" s="144">
        <v>2289.6963990901199</v>
      </c>
      <c r="E54" s="144">
        <v>2693.1311685185183</v>
      </c>
      <c r="F54" s="144">
        <f t="shared" si="2"/>
        <v>4982.8275676086378</v>
      </c>
      <c r="G54" s="160">
        <f t="shared" si="8"/>
        <v>4061.7767079753048</v>
      </c>
      <c r="H54" s="224">
        <v>0.7</v>
      </c>
      <c r="K54" s="318"/>
    </row>
    <row r="55" spans="1:11" s="121" customFormat="1" ht="26.25" hidden="1" x14ac:dyDescent="0.3">
      <c r="A55" s="679" t="s">
        <v>174</v>
      </c>
      <c r="B55" s="679"/>
      <c r="C55" s="151">
        <v>75</v>
      </c>
      <c r="D55" s="144">
        <v>1724.2807846890123</v>
      </c>
      <c r="E55" s="144">
        <v>1668.1540113333333</v>
      </c>
      <c r="F55" s="144">
        <f t="shared" si="2"/>
        <v>3392.4347960223458</v>
      </c>
      <c r="G55" s="160">
        <f t="shared" si="8"/>
        <v>2821.9261241463455</v>
      </c>
      <c r="H55" s="224">
        <v>0.7</v>
      </c>
      <c r="K55" s="318"/>
    </row>
    <row r="56" spans="1:11" hidden="1" x14ac:dyDescent="0.25">
      <c r="A56" s="200"/>
      <c r="B56" s="6"/>
      <c r="C56" s="64"/>
      <c r="D56" s="6"/>
      <c r="E56" s="6"/>
      <c r="F56" s="6"/>
      <c r="G56" s="6"/>
      <c r="H56" s="72"/>
    </row>
    <row r="57" spans="1:11" hidden="1" x14ac:dyDescent="0.25">
      <c r="A57" s="200"/>
      <c r="B57" s="6"/>
      <c r="C57" s="64"/>
      <c r="D57" s="6"/>
      <c r="E57" s="6"/>
      <c r="F57" s="6"/>
      <c r="G57" s="6"/>
      <c r="H57" s="72"/>
    </row>
    <row r="58" spans="1:11" s="130" customFormat="1" ht="21" hidden="1" x14ac:dyDescent="0.35">
      <c r="A58" s="203" t="s">
        <v>151</v>
      </c>
      <c r="B58" s="204"/>
      <c r="C58" s="204"/>
      <c r="D58" s="205"/>
      <c r="E58" s="205"/>
      <c r="F58" s="204"/>
      <c r="G58" s="206"/>
      <c r="H58" s="207"/>
      <c r="K58" s="318"/>
    </row>
    <row r="59" spans="1:11" s="130" customFormat="1" ht="21" hidden="1" x14ac:dyDescent="0.35">
      <c r="A59" s="208" t="s">
        <v>179</v>
      </c>
      <c r="B59" s="132"/>
      <c r="C59" s="132"/>
      <c r="D59" s="133"/>
      <c r="E59" s="133"/>
      <c r="F59" s="132"/>
      <c r="G59" s="134"/>
      <c r="H59" s="209"/>
      <c r="K59" s="318"/>
    </row>
    <row r="60" spans="1:11" s="130" customFormat="1" ht="21" hidden="1" x14ac:dyDescent="0.35">
      <c r="A60" s="208" t="s">
        <v>35</v>
      </c>
      <c r="B60" s="132"/>
      <c r="C60" s="132"/>
      <c r="D60" s="133"/>
      <c r="E60" s="133"/>
      <c r="F60" s="132"/>
      <c r="G60" s="134"/>
      <c r="H60" s="209"/>
      <c r="K60" s="318"/>
    </row>
    <row r="61" spans="1:11" s="130" customFormat="1" ht="21" hidden="1" x14ac:dyDescent="0.35">
      <c r="A61" s="208" t="s">
        <v>36</v>
      </c>
      <c r="B61" s="132"/>
      <c r="C61" s="132"/>
      <c r="D61" s="133"/>
      <c r="E61" s="133"/>
      <c r="F61" s="132"/>
      <c r="G61" s="134"/>
      <c r="H61" s="209"/>
      <c r="K61" s="318"/>
    </row>
    <row r="62" spans="1:11" s="130" customFormat="1" ht="21" hidden="1" x14ac:dyDescent="0.35">
      <c r="A62" s="208"/>
      <c r="B62" s="132"/>
      <c r="C62" s="132"/>
      <c r="D62" s="133"/>
      <c r="E62" s="133"/>
      <c r="F62" s="132"/>
      <c r="G62" s="134"/>
      <c r="H62" s="209"/>
      <c r="K62" s="318"/>
    </row>
    <row r="63" spans="1:11" s="130" customFormat="1" ht="21" hidden="1" x14ac:dyDescent="0.35">
      <c r="A63" s="208" t="s">
        <v>22</v>
      </c>
      <c r="B63" s="132"/>
      <c r="C63" s="132"/>
      <c r="D63" s="133"/>
      <c r="E63" s="133"/>
      <c r="F63" s="132"/>
      <c r="G63" s="134"/>
      <c r="H63" s="209"/>
      <c r="K63" s="318"/>
    </row>
    <row r="64" spans="1:11" s="130" customFormat="1" ht="21" hidden="1" x14ac:dyDescent="0.35">
      <c r="A64" s="210"/>
      <c r="B64" s="211"/>
      <c r="C64" s="211"/>
      <c r="D64" s="211"/>
      <c r="E64" s="211"/>
      <c r="F64" s="211"/>
      <c r="G64" s="211"/>
      <c r="H64" s="212"/>
      <c r="K64" s="318"/>
    </row>
    <row r="65" spans="1:11" s="72" customFormat="1" hidden="1" x14ac:dyDescent="0.25">
      <c r="A65" s="201"/>
      <c r="K65" s="319"/>
    </row>
    <row r="66" spans="1:11" hidden="1" x14ac:dyDescent="0.25">
      <c r="G66" s="72"/>
      <c r="H66" s="72"/>
    </row>
    <row r="67" spans="1:11" hidden="1" x14ac:dyDescent="0.25">
      <c r="G67" s="72"/>
      <c r="H67" s="72"/>
    </row>
  </sheetData>
  <mergeCells count="14">
    <mergeCell ref="A27:B27"/>
    <mergeCell ref="A1:H1"/>
    <mergeCell ref="A4:B4"/>
    <mergeCell ref="A6:A14"/>
    <mergeCell ref="A15:A23"/>
    <mergeCell ref="A24:A26"/>
    <mergeCell ref="A52:A53"/>
    <mergeCell ref="A54:B54"/>
    <mergeCell ref="A55:B55"/>
    <mergeCell ref="G42:G43"/>
    <mergeCell ref="H42:H43"/>
    <mergeCell ref="A43:B43"/>
    <mergeCell ref="A45:A48"/>
    <mergeCell ref="A49:A5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="70" zoomScaleNormal="70" workbookViewId="0">
      <selection activeCell="A32" sqref="A32:K58"/>
    </sheetView>
  </sheetViews>
  <sheetFormatPr defaultRowHeight="15" x14ac:dyDescent="0.25"/>
  <cols>
    <col min="1" max="1" width="21.5703125" style="202" customWidth="1"/>
    <col min="2" max="2" width="85.5703125" customWidth="1"/>
    <col min="3" max="6" width="23.140625" customWidth="1"/>
    <col min="7" max="7" width="26" customWidth="1"/>
    <col min="8" max="8" width="16.85546875" hidden="1" customWidth="1"/>
    <col min="9" max="9" width="24.140625" customWidth="1"/>
    <col min="10" max="11" width="23.140625" customWidth="1"/>
  </cols>
  <sheetData>
    <row r="1" spans="1:11" ht="50.25" customHeight="1" x14ac:dyDescent="0.25">
      <c r="A1" s="705" t="s">
        <v>153</v>
      </c>
      <c r="B1" s="705"/>
      <c r="C1" s="705"/>
      <c r="D1" s="705"/>
      <c r="E1" s="705"/>
      <c r="F1" s="705"/>
      <c r="G1" s="705"/>
      <c r="H1" s="705"/>
      <c r="I1" s="705"/>
    </row>
    <row r="2" spans="1:11" ht="21" x14ac:dyDescent="0.25">
      <c r="A2" s="192"/>
      <c r="B2" s="2"/>
      <c r="C2" s="2"/>
      <c r="D2" s="2"/>
      <c r="E2" s="2"/>
      <c r="F2" s="2"/>
      <c r="G2" s="1"/>
      <c r="H2" s="1"/>
      <c r="I2" s="70"/>
    </row>
    <row r="3" spans="1:11" ht="21" hidden="1" x14ac:dyDescent="0.25">
      <c r="A3" s="193" t="s">
        <v>1</v>
      </c>
      <c r="B3" s="4"/>
      <c r="C3" s="4"/>
      <c r="D3" s="4"/>
      <c r="E3" s="4"/>
      <c r="F3" s="4"/>
      <c r="G3" s="1"/>
      <c r="H3" s="1"/>
      <c r="I3" s="70"/>
    </row>
    <row r="4" spans="1:11" ht="45" hidden="1" customHeight="1" x14ac:dyDescent="0.25">
      <c r="A4" s="659" t="s">
        <v>2</v>
      </c>
      <c r="B4" s="659"/>
      <c r="C4" s="216" t="s">
        <v>3</v>
      </c>
      <c r="D4" s="216" t="s">
        <v>4</v>
      </c>
      <c r="E4" s="216" t="s">
        <v>5</v>
      </c>
      <c r="F4" s="216" t="s">
        <v>175</v>
      </c>
      <c r="G4" s="279" t="s">
        <v>178</v>
      </c>
      <c r="H4" s="1"/>
      <c r="I4" s="71" t="s">
        <v>37</v>
      </c>
    </row>
    <row r="5" spans="1:11" ht="24" hidden="1" customHeight="1" x14ac:dyDescent="0.25">
      <c r="A5" s="194"/>
      <c r="B5" s="278"/>
      <c r="C5" s="5"/>
      <c r="D5" s="5"/>
      <c r="E5" s="5"/>
      <c r="F5" s="5"/>
      <c r="G5" s="73">
        <v>0.93</v>
      </c>
      <c r="H5" s="1"/>
      <c r="I5" s="72"/>
    </row>
    <row r="6" spans="1:11" s="121" customFormat="1" ht="26.25" hidden="1" customHeight="1" x14ac:dyDescent="0.35">
      <c r="A6" s="709" t="s">
        <v>11</v>
      </c>
      <c r="B6" s="213" t="s">
        <v>160</v>
      </c>
      <c r="C6" s="143">
        <v>550</v>
      </c>
      <c r="D6" s="144">
        <v>4289.8986277717058</v>
      </c>
      <c r="E6" s="144">
        <v>11941.655382347013</v>
      </c>
      <c r="F6" s="144">
        <f>D6+E6</f>
        <v>16231.554010118718</v>
      </c>
      <c r="G6" s="160">
        <f t="shared" ref="G6:G17" si="0">D6+E6*$G$5*I6</f>
        <v>13174.490232237884</v>
      </c>
      <c r="H6" s="146"/>
      <c r="I6" s="224">
        <v>0.8</v>
      </c>
      <c r="J6" s="154"/>
      <c r="K6" s="154"/>
    </row>
    <row r="7" spans="1:11" s="121" customFormat="1" ht="26.25" hidden="1" customHeight="1" x14ac:dyDescent="0.35">
      <c r="A7" s="710"/>
      <c r="B7" s="213" t="s">
        <v>162</v>
      </c>
      <c r="C7" s="143">
        <v>550</v>
      </c>
      <c r="D7" s="144">
        <v>4289.8986277717058</v>
      </c>
      <c r="E7" s="144">
        <v>11941.655382347013</v>
      </c>
      <c r="F7" s="144">
        <f>D7+E7</f>
        <v>16231.554010118718</v>
      </c>
      <c r="G7" s="160">
        <f t="shared" si="0"/>
        <v>7066.3335041673863</v>
      </c>
      <c r="H7" s="191"/>
      <c r="I7" s="224">
        <v>0.25</v>
      </c>
      <c r="J7" s="154"/>
      <c r="K7" s="154"/>
    </row>
    <row r="8" spans="1:11" s="121" customFormat="1" ht="26.25" hidden="1" customHeight="1" x14ac:dyDescent="0.35">
      <c r="A8" s="710"/>
      <c r="B8" s="213" t="s">
        <v>13</v>
      </c>
      <c r="C8" s="143">
        <v>400</v>
      </c>
      <c r="D8" s="144">
        <v>4338.1942847146329</v>
      </c>
      <c r="E8" s="144">
        <v>8637.2648112671013</v>
      </c>
      <c r="F8" s="144">
        <f t="shared" ref="F8:F58" si="1">D8+E8</f>
        <v>12975.459095981734</v>
      </c>
      <c r="G8" s="160">
        <f t="shared" si="0"/>
        <v>10362.686490573436</v>
      </c>
      <c r="H8" s="146"/>
      <c r="I8" s="147">
        <v>0.75</v>
      </c>
      <c r="J8" s="154"/>
      <c r="K8" s="154"/>
    </row>
    <row r="9" spans="1:11" s="121" customFormat="1" ht="26.25" hidden="1" customHeight="1" x14ac:dyDescent="0.35">
      <c r="A9" s="710"/>
      <c r="B9" s="213" t="s">
        <v>161</v>
      </c>
      <c r="C9" s="143">
        <v>300</v>
      </c>
      <c r="D9" s="144">
        <v>4386.489941657559</v>
      </c>
      <c r="E9" s="144">
        <v>6415.3452401871882</v>
      </c>
      <c r="F9" s="144">
        <f t="shared" si="1"/>
        <v>10801.835181844748</v>
      </c>
      <c r="G9" s="160">
        <f t="shared" si="0"/>
        <v>8861.1932466881226</v>
      </c>
      <c r="H9" s="146"/>
      <c r="I9" s="147">
        <v>0.75</v>
      </c>
      <c r="J9" s="154"/>
      <c r="K9" s="154"/>
    </row>
    <row r="10" spans="1:11" s="121" customFormat="1" ht="26.25" hidden="1" customHeight="1" x14ac:dyDescent="0.35">
      <c r="A10" s="711"/>
      <c r="B10" s="213" t="s">
        <v>163</v>
      </c>
      <c r="C10" s="143">
        <v>300</v>
      </c>
      <c r="D10" s="144">
        <v>4386.489941657559</v>
      </c>
      <c r="E10" s="144">
        <v>6415.3452401871882</v>
      </c>
      <c r="F10" s="144">
        <f t="shared" si="1"/>
        <v>10801.835181844748</v>
      </c>
      <c r="G10" s="160">
        <f t="shared" si="0"/>
        <v>6474.6848173384888</v>
      </c>
      <c r="H10" s="146"/>
      <c r="I10" s="224">
        <v>0.35</v>
      </c>
      <c r="J10" s="154"/>
      <c r="K10" s="154"/>
    </row>
    <row r="11" spans="1:11" s="121" customFormat="1" ht="26.25" hidden="1" customHeight="1" x14ac:dyDescent="0.35">
      <c r="A11" s="675" t="s">
        <v>15</v>
      </c>
      <c r="B11" s="213" t="s">
        <v>12</v>
      </c>
      <c r="C11" s="143">
        <v>600</v>
      </c>
      <c r="D11" s="144">
        <v>3156.3831833272616</v>
      </c>
      <c r="E11" s="144">
        <v>13075.170826791458</v>
      </c>
      <c r="F11" s="144">
        <f t="shared" si="1"/>
        <v>16231.55401011872</v>
      </c>
      <c r="G11" s="160">
        <f t="shared" si="0"/>
        <v>12276.314835014304</v>
      </c>
      <c r="H11" s="146"/>
      <c r="I11" s="147">
        <v>0.75</v>
      </c>
      <c r="J11" s="154"/>
      <c r="K11" s="154"/>
    </row>
    <row r="12" spans="1:11" s="121" customFormat="1" ht="26.25" hidden="1" customHeight="1" x14ac:dyDescent="0.35">
      <c r="A12" s="675"/>
      <c r="B12" s="213" t="s">
        <v>162</v>
      </c>
      <c r="C12" s="143">
        <v>600</v>
      </c>
      <c r="D12" s="144">
        <v>3156.3831833272616</v>
      </c>
      <c r="E12" s="144">
        <v>13075.170826791458</v>
      </c>
      <c r="F12" s="144">
        <f t="shared" si="1"/>
        <v>16231.55401011872</v>
      </c>
      <c r="G12" s="160">
        <f t="shared" si="0"/>
        <v>6804.3558440020788</v>
      </c>
      <c r="H12" s="146"/>
      <c r="I12" s="224">
        <v>0.3</v>
      </c>
      <c r="J12" s="154"/>
      <c r="K12" s="154"/>
    </row>
    <row r="13" spans="1:11" s="121" customFormat="1" ht="26.25" hidden="1" customHeight="1" x14ac:dyDescent="0.35">
      <c r="A13" s="675"/>
      <c r="B13" s="213" t="s">
        <v>13</v>
      </c>
      <c r="C13" s="143">
        <v>450</v>
      </c>
      <c r="D13" s="144">
        <v>3191.9177291590768</v>
      </c>
      <c r="E13" s="144">
        <v>9783.5413668226574</v>
      </c>
      <c r="F13" s="144">
        <f t="shared" si="1"/>
        <v>12975.459095981734</v>
      </c>
      <c r="G13" s="160">
        <f t="shared" si="0"/>
        <v>10015.93783251788</v>
      </c>
      <c r="H13" s="146"/>
      <c r="I13" s="147">
        <v>0.75</v>
      </c>
      <c r="J13" s="154"/>
      <c r="K13" s="154"/>
    </row>
    <row r="14" spans="1:11" s="121" customFormat="1" ht="26.25" hidden="1" customHeight="1" x14ac:dyDescent="0.35">
      <c r="A14" s="675"/>
      <c r="B14" s="213" t="s">
        <v>161</v>
      </c>
      <c r="C14" s="143">
        <v>300</v>
      </c>
      <c r="D14" s="144">
        <v>3251.1419722121027</v>
      </c>
      <c r="E14" s="144">
        <v>6462.434266874654</v>
      </c>
      <c r="F14" s="144">
        <f>D14+E14</f>
        <v>9713.5762390867567</v>
      </c>
      <c r="G14" s="160">
        <f t="shared" si="0"/>
        <v>7758.6898733571743</v>
      </c>
      <c r="H14" s="146"/>
      <c r="I14" s="147">
        <v>0.75</v>
      </c>
      <c r="J14" s="154"/>
      <c r="K14" s="154"/>
    </row>
    <row r="15" spans="1:11" s="121" customFormat="1" ht="26.25" hidden="1" customHeight="1" x14ac:dyDescent="0.3">
      <c r="A15" s="675"/>
      <c r="B15" s="213" t="s">
        <v>163</v>
      </c>
      <c r="C15" s="143">
        <v>300</v>
      </c>
      <c r="D15" s="144">
        <v>3251.1419722121027</v>
      </c>
      <c r="E15" s="144">
        <v>6462.434266874654</v>
      </c>
      <c r="F15" s="144">
        <f>D15+E15</f>
        <v>9713.5762390867567</v>
      </c>
      <c r="G15" s="160">
        <f t="shared" si="0"/>
        <v>5655.1675194894742</v>
      </c>
      <c r="I15" s="224">
        <v>0.4</v>
      </c>
      <c r="J15" s="154"/>
      <c r="K15" s="154"/>
    </row>
    <row r="16" spans="1:11" s="121" customFormat="1" ht="26.25" hidden="1" customHeight="1" x14ac:dyDescent="0.35">
      <c r="A16" s="708" t="s">
        <v>172</v>
      </c>
      <c r="B16" s="708"/>
      <c r="C16" s="148">
        <v>125</v>
      </c>
      <c r="D16" s="144">
        <v>2262.1368823619159</v>
      </c>
      <c r="E16" s="144">
        <v>2700.4971714475387</v>
      </c>
      <c r="F16" s="144">
        <f>D16+E16</f>
        <v>4962.6340538094546</v>
      </c>
      <c r="G16" s="160">
        <f t="shared" si="0"/>
        <v>3894.5874225019534</v>
      </c>
      <c r="H16" s="146"/>
      <c r="I16" s="147">
        <v>0.65</v>
      </c>
      <c r="J16" s="154"/>
      <c r="K16" s="154"/>
    </row>
    <row r="17" spans="1:11" s="121" customFormat="1" ht="26.25" hidden="1" customHeight="1" x14ac:dyDescent="0.35">
      <c r="A17" s="708" t="s">
        <v>171</v>
      </c>
      <c r="B17" s="708"/>
      <c r="C17" s="148">
        <v>50</v>
      </c>
      <c r="D17" s="144">
        <v>1102.6869233085536</v>
      </c>
      <c r="E17" s="144">
        <v>1145.4037853333332</v>
      </c>
      <c r="F17" s="144">
        <f>D17+E17</f>
        <v>2248.0907086418865</v>
      </c>
      <c r="G17" s="160">
        <f t="shared" si="0"/>
        <v>1795.0835115425537</v>
      </c>
      <c r="H17" s="146"/>
      <c r="I17" s="147">
        <v>0.65</v>
      </c>
      <c r="J17" s="154"/>
      <c r="K17" s="154"/>
    </row>
    <row r="18" spans="1:11" ht="10.5" hidden="1" customHeight="1" x14ac:dyDescent="0.25">
      <c r="A18" s="195"/>
      <c r="B18" s="15"/>
      <c r="C18" s="16"/>
      <c r="D18" s="17"/>
      <c r="E18" s="17"/>
      <c r="F18" s="17"/>
      <c r="G18" s="17"/>
      <c r="H18" s="1"/>
      <c r="I18" s="72"/>
    </row>
    <row r="19" spans="1:11" s="130" customFormat="1" ht="24.75" hidden="1" customHeight="1" x14ac:dyDescent="0.35">
      <c r="A19" s="196" t="s">
        <v>152</v>
      </c>
      <c r="B19" s="124"/>
      <c r="C19" s="124"/>
      <c r="D19" s="125"/>
      <c r="E19" s="125"/>
      <c r="F19" s="124"/>
      <c r="G19" s="127"/>
      <c r="H19" s="129"/>
      <c r="I19" s="128"/>
    </row>
    <row r="20" spans="1:11" s="130" customFormat="1" ht="24.75" hidden="1" customHeight="1" x14ac:dyDescent="0.35">
      <c r="A20" s="218" t="s">
        <v>150</v>
      </c>
      <c r="B20" s="132"/>
      <c r="C20" s="132"/>
      <c r="D20" s="133"/>
      <c r="E20" s="133"/>
      <c r="F20" s="132"/>
      <c r="G20" s="135"/>
      <c r="H20" s="129"/>
      <c r="I20" s="128"/>
    </row>
    <row r="21" spans="1:11" s="130" customFormat="1" ht="24.75" hidden="1" customHeight="1" x14ac:dyDescent="0.35">
      <c r="A21" s="219" t="s">
        <v>183</v>
      </c>
      <c r="B21" s="132"/>
      <c r="C21" s="132"/>
      <c r="D21" s="133"/>
      <c r="E21" s="133"/>
      <c r="F21" s="132"/>
      <c r="G21" s="135"/>
      <c r="H21" s="129"/>
      <c r="I21" s="128"/>
    </row>
    <row r="22" spans="1:11" s="130" customFormat="1" ht="24.75" hidden="1" customHeight="1" x14ac:dyDescent="0.35">
      <c r="A22" s="198" t="s">
        <v>20</v>
      </c>
      <c r="B22" s="132"/>
      <c r="C22" s="132"/>
      <c r="D22" s="133"/>
      <c r="E22" s="133"/>
      <c r="F22" s="132"/>
      <c r="G22" s="135"/>
      <c r="H22" s="129"/>
      <c r="I22" s="128"/>
    </row>
    <row r="23" spans="1:11" s="130" customFormat="1" ht="24.75" hidden="1" customHeight="1" x14ac:dyDescent="0.35">
      <c r="A23" s="198" t="s">
        <v>21</v>
      </c>
      <c r="B23" s="132"/>
      <c r="C23" s="132"/>
      <c r="D23" s="133"/>
      <c r="E23" s="133"/>
      <c r="F23" s="132"/>
      <c r="G23" s="135"/>
      <c r="H23" s="129"/>
      <c r="I23" s="128"/>
    </row>
    <row r="24" spans="1:11" s="130" customFormat="1" ht="11.25" hidden="1" customHeight="1" x14ac:dyDescent="0.35">
      <c r="A24" s="197"/>
      <c r="B24" s="132"/>
      <c r="C24" s="132"/>
      <c r="D24" s="133"/>
      <c r="E24" s="133"/>
      <c r="F24" s="132"/>
      <c r="G24" s="135"/>
      <c r="H24" s="129"/>
      <c r="I24" s="128"/>
    </row>
    <row r="25" spans="1:11" s="130" customFormat="1" ht="24.75" hidden="1" customHeight="1" x14ac:dyDescent="0.35">
      <c r="A25" s="198" t="s">
        <v>22</v>
      </c>
      <c r="B25" s="132"/>
      <c r="C25" s="132"/>
      <c r="D25" s="133"/>
      <c r="E25" s="133"/>
      <c r="F25" s="132"/>
      <c r="G25" s="135"/>
      <c r="H25" s="129"/>
      <c r="I25" s="128"/>
    </row>
    <row r="26" spans="1:11" s="130" customFormat="1" ht="11.25" hidden="1" customHeight="1" x14ac:dyDescent="0.35">
      <c r="A26" s="199"/>
      <c r="B26" s="138"/>
      <c r="C26" s="138"/>
      <c r="D26" s="139"/>
      <c r="E26" s="139"/>
      <c r="F26" s="138"/>
      <c r="G26" s="141"/>
      <c r="H26" s="129"/>
      <c r="I26" s="128"/>
    </row>
    <row r="27" spans="1:11" ht="15.75" x14ac:dyDescent="0.25">
      <c r="A27" s="195"/>
      <c r="B27" s="15"/>
      <c r="C27" s="16"/>
      <c r="D27" s="17"/>
      <c r="E27" s="17"/>
      <c r="F27" s="17"/>
      <c r="G27" s="6"/>
      <c r="H27" s="1"/>
      <c r="I27" s="72"/>
    </row>
    <row r="28" spans="1:11" ht="15.75" hidden="1" x14ac:dyDescent="0.25">
      <c r="A28" s="195"/>
      <c r="B28" s="15"/>
      <c r="C28" s="16"/>
      <c r="D28" s="17"/>
      <c r="E28" s="17"/>
      <c r="F28" s="17"/>
      <c r="G28" s="6"/>
      <c r="H28" s="6"/>
      <c r="I28" s="72"/>
    </row>
    <row r="29" spans="1:11" ht="15.75" hidden="1" x14ac:dyDescent="0.25">
      <c r="A29" s="195"/>
      <c r="B29" s="15"/>
      <c r="C29" s="16"/>
      <c r="D29" s="17"/>
      <c r="E29" s="17"/>
      <c r="F29" s="17"/>
      <c r="G29" s="6"/>
      <c r="H29" s="6"/>
      <c r="I29" s="72"/>
    </row>
    <row r="30" spans="1:11" ht="15.75" x14ac:dyDescent="0.25">
      <c r="A30" s="195"/>
      <c r="B30" s="15"/>
      <c r="C30" s="16"/>
      <c r="D30" s="17"/>
      <c r="E30" s="17"/>
      <c r="F30" s="17"/>
      <c r="G30" s="17"/>
      <c r="H30" s="6"/>
      <c r="I30" s="72"/>
    </row>
    <row r="31" spans="1:11" ht="30.75" customHeight="1" thickBot="1" x14ac:dyDescent="0.3">
      <c r="A31" s="245" t="s">
        <v>180</v>
      </c>
      <c r="B31" s="242"/>
      <c r="C31" s="243"/>
      <c r="D31" s="244"/>
      <c r="E31" s="244"/>
      <c r="F31" s="244"/>
    </row>
    <row r="32" spans="1:11" s="292" customFormat="1" ht="61.5" customHeight="1" x14ac:dyDescent="0.25">
      <c r="A32" s="706" t="s">
        <v>2</v>
      </c>
      <c r="B32" s="707"/>
      <c r="C32" s="297" t="s">
        <v>3</v>
      </c>
      <c r="D32" s="297" t="s">
        <v>229</v>
      </c>
      <c r="E32" s="297" t="s">
        <v>230</v>
      </c>
      <c r="F32" s="297" t="s">
        <v>231</v>
      </c>
      <c r="G32" s="298" t="s">
        <v>178</v>
      </c>
      <c r="H32" s="298" t="s">
        <v>148</v>
      </c>
      <c r="I32" s="298" t="s">
        <v>37</v>
      </c>
      <c r="J32" s="298" t="s">
        <v>206</v>
      </c>
      <c r="K32" s="299" t="s">
        <v>207</v>
      </c>
    </row>
    <row r="33" spans="1:11" ht="31.5" customHeight="1" x14ac:dyDescent="0.25">
      <c r="A33" s="300"/>
      <c r="B33" s="293"/>
      <c r="C33" s="294"/>
      <c r="D33" s="294"/>
      <c r="E33" s="294"/>
      <c r="F33" s="294"/>
      <c r="G33" s="295">
        <v>0.94</v>
      </c>
      <c r="H33" s="296"/>
      <c r="I33" s="280"/>
      <c r="J33" s="301"/>
      <c r="K33" s="302"/>
    </row>
    <row r="34" spans="1:11" s="121" customFormat="1" ht="44.25" customHeight="1" x14ac:dyDescent="0.3">
      <c r="A34" s="716" t="s">
        <v>28</v>
      </c>
      <c r="B34" s="282" t="s">
        <v>215</v>
      </c>
      <c r="C34" s="283">
        <v>600</v>
      </c>
      <c r="D34" s="238">
        <v>4996.0199999999995</v>
      </c>
      <c r="E34" s="238">
        <v>19984.079999999998</v>
      </c>
      <c r="F34" s="238">
        <f t="shared" si="1"/>
        <v>24980.1</v>
      </c>
      <c r="G34" s="238">
        <f t="shared" ref="G34:G58" si="2">D34+E34*$G$33*I34</f>
        <v>12200</v>
      </c>
      <c r="H34" s="238"/>
      <c r="I34" s="285">
        <f t="shared" ref="I34:I58" si="3">((K34-D34)/(F34-D34))/0.94</f>
        <v>0.3834956880996423</v>
      </c>
      <c r="J34" s="284"/>
      <c r="K34" s="303">
        <v>12200</v>
      </c>
    </row>
    <row r="35" spans="1:11" s="121" customFormat="1" ht="44.25" customHeight="1" x14ac:dyDescent="0.3">
      <c r="A35" s="716"/>
      <c r="B35" s="282" t="s">
        <v>214</v>
      </c>
      <c r="C35" s="283">
        <v>600</v>
      </c>
      <c r="D35" s="238">
        <v>4996.0199999999995</v>
      </c>
      <c r="E35" s="238">
        <v>19984.079999999998</v>
      </c>
      <c r="F35" s="238">
        <f t="shared" si="1"/>
        <v>24980.1</v>
      </c>
      <c r="G35" s="238">
        <f t="shared" si="2"/>
        <v>8000</v>
      </c>
      <c r="H35" s="238"/>
      <c r="I35" s="285">
        <f t="shared" si="3"/>
        <v>0.15991346132798309</v>
      </c>
      <c r="J35" s="284"/>
      <c r="K35" s="303">
        <v>8000</v>
      </c>
    </row>
    <row r="36" spans="1:11" s="121" customFormat="1" ht="44.25" customHeight="1" x14ac:dyDescent="0.3">
      <c r="A36" s="716"/>
      <c r="B36" s="228" t="s">
        <v>220</v>
      </c>
      <c r="C36" s="231">
        <v>600</v>
      </c>
      <c r="D36" s="234">
        <v>4996.0199999999995</v>
      </c>
      <c r="E36" s="234">
        <v>19984.079999999998</v>
      </c>
      <c r="F36" s="234">
        <v>16231.55401011872</v>
      </c>
      <c r="G36" s="234">
        <f t="shared" si="2"/>
        <v>8282.9292047730614</v>
      </c>
      <c r="H36" s="238"/>
      <c r="I36" s="285">
        <f t="shared" si="3"/>
        <v>0.174974875999863</v>
      </c>
      <c r="J36" s="277"/>
      <c r="K36" s="304">
        <v>6844</v>
      </c>
    </row>
    <row r="37" spans="1:11" s="121" customFormat="1" ht="44.25" customHeight="1" x14ac:dyDescent="0.3">
      <c r="A37" s="716"/>
      <c r="B37" s="282" t="s">
        <v>32</v>
      </c>
      <c r="C37" s="283">
        <v>450</v>
      </c>
      <c r="D37" s="238">
        <v>4996.0199999999995</v>
      </c>
      <c r="E37" s="238">
        <v>14988.06</v>
      </c>
      <c r="F37" s="238">
        <f t="shared" si="1"/>
        <v>19984.079999999998</v>
      </c>
      <c r="G37" s="238">
        <f t="shared" si="2"/>
        <v>9250</v>
      </c>
      <c r="H37" s="238"/>
      <c r="I37" s="285">
        <f t="shared" si="3"/>
        <v>0.30194105429908036</v>
      </c>
      <c r="J37" s="284"/>
      <c r="K37" s="303">
        <v>9250</v>
      </c>
    </row>
    <row r="38" spans="1:11" s="121" customFormat="1" ht="44.25" customHeight="1" x14ac:dyDescent="0.3">
      <c r="A38" s="716"/>
      <c r="B38" s="282" t="s">
        <v>237</v>
      </c>
      <c r="C38" s="283">
        <v>450</v>
      </c>
      <c r="D38" s="238">
        <v>4996.0199999999995</v>
      </c>
      <c r="E38" s="238">
        <v>14988.06</v>
      </c>
      <c r="F38" s="238">
        <f t="shared" ref="F38" si="4">D38+E38</f>
        <v>19984.079999999998</v>
      </c>
      <c r="G38" s="238">
        <f t="shared" si="2"/>
        <v>0</v>
      </c>
      <c r="H38" s="238"/>
      <c r="I38" s="285">
        <f t="shared" si="3"/>
        <v>-0.35460992907801425</v>
      </c>
      <c r="J38" s="284"/>
      <c r="K38" s="303"/>
    </row>
    <row r="39" spans="1:11" s="121" customFormat="1" ht="44.25" customHeight="1" x14ac:dyDescent="0.3">
      <c r="A39" s="716"/>
      <c r="B39" s="228" t="s">
        <v>234</v>
      </c>
      <c r="C39" s="231">
        <v>300</v>
      </c>
      <c r="D39" s="234">
        <v>4996.0199999999995</v>
      </c>
      <c r="E39" s="234">
        <v>9992.0399999999991</v>
      </c>
      <c r="F39" s="234">
        <f t="shared" si="1"/>
        <v>14988.059999999998</v>
      </c>
      <c r="G39" s="234">
        <f t="shared" si="2"/>
        <v>7250</v>
      </c>
      <c r="H39" s="238"/>
      <c r="I39" s="285">
        <f t="shared" si="3"/>
        <v>0.23997612738037363</v>
      </c>
      <c r="J39" s="277"/>
      <c r="K39" s="304">
        <v>7250</v>
      </c>
    </row>
    <row r="40" spans="1:11" s="121" customFormat="1" ht="44.25" customHeight="1" x14ac:dyDescent="0.3">
      <c r="A40" s="716"/>
      <c r="B40" s="228" t="s">
        <v>242</v>
      </c>
      <c r="C40" s="231">
        <v>300</v>
      </c>
      <c r="D40" s="234">
        <v>4996.0199999999995</v>
      </c>
      <c r="E40" s="234">
        <v>9992.0399999999991</v>
      </c>
      <c r="F40" s="234">
        <f t="shared" ref="F40" si="5">D40+E40</f>
        <v>14988.059999999998</v>
      </c>
      <c r="G40" s="234">
        <f t="shared" si="2"/>
        <v>0</v>
      </c>
      <c r="H40" s="238"/>
      <c r="I40" s="285">
        <f t="shared" si="3"/>
        <v>-0.53191489361702138</v>
      </c>
      <c r="J40" s="277"/>
      <c r="K40" s="304"/>
    </row>
    <row r="41" spans="1:11" s="121" customFormat="1" ht="44.25" customHeight="1" x14ac:dyDescent="0.3">
      <c r="A41" s="716"/>
      <c r="B41" s="228" t="s">
        <v>235</v>
      </c>
      <c r="C41" s="231">
        <v>300</v>
      </c>
      <c r="D41" s="234">
        <v>4996.0199999999995</v>
      </c>
      <c r="E41" s="234">
        <v>9992.0399999999991</v>
      </c>
      <c r="F41" s="234">
        <f t="shared" ref="F41" si="6">D41+E41</f>
        <v>14988.059999999998</v>
      </c>
      <c r="G41" s="234">
        <f t="shared" si="2"/>
        <v>0</v>
      </c>
      <c r="H41" s="238"/>
      <c r="I41" s="285">
        <f t="shared" si="3"/>
        <v>-0.53191489361702138</v>
      </c>
      <c r="J41" s="277"/>
      <c r="K41" s="304"/>
    </row>
    <row r="42" spans="1:11" s="121" customFormat="1" ht="44.25" customHeight="1" x14ac:dyDescent="0.3">
      <c r="A42" s="716"/>
      <c r="B42" s="282" t="s">
        <v>224</v>
      </c>
      <c r="C42" s="283">
        <v>300</v>
      </c>
      <c r="D42" s="238">
        <v>4996.0199999999995</v>
      </c>
      <c r="E42" s="238">
        <v>9992.0399999999991</v>
      </c>
      <c r="F42" s="238">
        <f t="shared" si="1"/>
        <v>14988.059999999998</v>
      </c>
      <c r="G42" s="238">
        <f t="shared" si="2"/>
        <v>5000</v>
      </c>
      <c r="H42" s="238"/>
      <c r="I42" s="285">
        <f t="shared" si="3"/>
        <v>4.2374155359586169E-4</v>
      </c>
      <c r="J42" s="284"/>
      <c r="K42" s="303">
        <v>5000</v>
      </c>
    </row>
    <row r="43" spans="1:11" s="121" customFormat="1" ht="44.25" customHeight="1" x14ac:dyDescent="0.3">
      <c r="A43" s="716" t="s">
        <v>29</v>
      </c>
      <c r="B43" s="228" t="s">
        <v>221</v>
      </c>
      <c r="C43" s="231">
        <v>600</v>
      </c>
      <c r="D43" s="234">
        <v>4996.0199999999995</v>
      </c>
      <c r="E43" s="234">
        <v>19984.079999999998</v>
      </c>
      <c r="F43" s="234">
        <f t="shared" si="1"/>
        <v>24980.1</v>
      </c>
      <c r="G43" s="234">
        <f t="shared" si="2"/>
        <v>12200</v>
      </c>
      <c r="H43" s="239">
        <v>13193</v>
      </c>
      <c r="I43" s="285">
        <f t="shared" si="3"/>
        <v>0.3834956880996423</v>
      </c>
      <c r="J43" s="277"/>
      <c r="K43" s="304">
        <v>12200</v>
      </c>
    </row>
    <row r="44" spans="1:11" s="121" customFormat="1" ht="44.25" customHeight="1" x14ac:dyDescent="0.3">
      <c r="A44" s="716"/>
      <c r="B44" s="228" t="s">
        <v>222</v>
      </c>
      <c r="C44" s="231">
        <v>600</v>
      </c>
      <c r="D44" s="234">
        <v>4996.0199999999995</v>
      </c>
      <c r="E44" s="234">
        <v>19984.079999999998</v>
      </c>
      <c r="F44" s="234">
        <f t="shared" si="1"/>
        <v>24980.1</v>
      </c>
      <c r="G44" s="234">
        <f t="shared" si="2"/>
        <v>8000</v>
      </c>
      <c r="H44" s="239">
        <v>13193</v>
      </c>
      <c r="I44" s="285">
        <f t="shared" si="3"/>
        <v>0.15991346132798309</v>
      </c>
      <c r="J44" s="277"/>
      <c r="K44" s="304">
        <v>8000</v>
      </c>
    </row>
    <row r="45" spans="1:11" s="121" customFormat="1" ht="44.25" customHeight="1" x14ac:dyDescent="0.3">
      <c r="A45" s="716"/>
      <c r="B45" s="287" t="s">
        <v>32</v>
      </c>
      <c r="C45" s="283">
        <v>450</v>
      </c>
      <c r="D45" s="238">
        <v>4996.0199999999995</v>
      </c>
      <c r="E45" s="238">
        <v>14988.06</v>
      </c>
      <c r="F45" s="238">
        <f t="shared" si="1"/>
        <v>19984.079999999998</v>
      </c>
      <c r="G45" s="238">
        <f t="shared" si="2"/>
        <v>9000</v>
      </c>
      <c r="H45" s="288">
        <v>9100</v>
      </c>
      <c r="I45" s="285">
        <f t="shared" si="3"/>
        <v>0.28419643312672643</v>
      </c>
      <c r="J45" s="284"/>
      <c r="K45" s="303">
        <v>9000</v>
      </c>
    </row>
    <row r="46" spans="1:11" s="121" customFormat="1" ht="44.25" customHeight="1" x14ac:dyDescent="0.3">
      <c r="A46" s="716"/>
      <c r="B46" s="287" t="s">
        <v>237</v>
      </c>
      <c r="C46" s="283">
        <v>450</v>
      </c>
      <c r="D46" s="238">
        <v>4996.0199999999995</v>
      </c>
      <c r="E46" s="238">
        <v>14988.06</v>
      </c>
      <c r="F46" s="238">
        <f t="shared" ref="F46" si="7">D46+E46</f>
        <v>19984.079999999998</v>
      </c>
      <c r="G46" s="238">
        <f t="shared" si="2"/>
        <v>0</v>
      </c>
      <c r="H46" s="288">
        <v>9100</v>
      </c>
      <c r="I46" s="285">
        <f t="shared" si="3"/>
        <v>-0.35460992907801425</v>
      </c>
      <c r="J46" s="284"/>
      <c r="K46" s="303"/>
    </row>
    <row r="47" spans="1:11" s="121" customFormat="1" ht="44.25" customHeight="1" x14ac:dyDescent="0.3">
      <c r="A47" s="716"/>
      <c r="B47" s="287" t="s">
        <v>225</v>
      </c>
      <c r="C47" s="283">
        <v>450</v>
      </c>
      <c r="D47" s="238">
        <v>4996.0199999999995</v>
      </c>
      <c r="E47" s="238">
        <v>14988.06</v>
      </c>
      <c r="F47" s="238">
        <f t="shared" si="1"/>
        <v>19984.079999999998</v>
      </c>
      <c r="G47" s="238">
        <f t="shared" si="2"/>
        <v>7000</v>
      </c>
      <c r="H47" s="288">
        <v>9100</v>
      </c>
      <c r="I47" s="285">
        <f t="shared" si="3"/>
        <v>0.14223946374789515</v>
      </c>
      <c r="J47" s="284"/>
      <c r="K47" s="303">
        <v>7000</v>
      </c>
    </row>
    <row r="48" spans="1:11" s="121" customFormat="1" ht="44.25" customHeight="1" x14ac:dyDescent="0.3">
      <c r="A48" s="716"/>
      <c r="B48" s="287" t="s">
        <v>243</v>
      </c>
      <c r="C48" s="283">
        <v>450</v>
      </c>
      <c r="D48" s="238">
        <v>4996.0199999999995</v>
      </c>
      <c r="E48" s="238">
        <v>14988.06</v>
      </c>
      <c r="F48" s="238">
        <f t="shared" ref="F48:F49" si="8">D48+E48</f>
        <v>19984.079999999998</v>
      </c>
      <c r="G48" s="238">
        <f t="shared" si="2"/>
        <v>0</v>
      </c>
      <c r="H48" s="288">
        <v>9100</v>
      </c>
      <c r="I48" s="285">
        <f t="shared" si="3"/>
        <v>-0.35460992907801425</v>
      </c>
      <c r="J48" s="284"/>
      <c r="K48" s="303"/>
    </row>
    <row r="49" spans="1:11" s="121" customFormat="1" ht="44.25" customHeight="1" x14ac:dyDescent="0.3">
      <c r="A49" s="716"/>
      <c r="B49" s="228" t="s">
        <v>226</v>
      </c>
      <c r="C49" s="231">
        <v>200</v>
      </c>
      <c r="D49" s="234">
        <v>4996.0199999999995</v>
      </c>
      <c r="E49" s="234">
        <v>6661.36</v>
      </c>
      <c r="F49" s="234">
        <f t="shared" si="8"/>
        <v>11657.38</v>
      </c>
      <c r="G49" s="234">
        <f t="shared" si="2"/>
        <v>0</v>
      </c>
      <c r="H49" s="239">
        <v>6200</v>
      </c>
      <c r="I49" s="285">
        <f t="shared" si="3"/>
        <v>-0.79787234042553201</v>
      </c>
      <c r="J49" s="284"/>
      <c r="K49" s="303"/>
    </row>
    <row r="50" spans="1:11" s="121" customFormat="1" ht="44.25" customHeight="1" x14ac:dyDescent="0.3">
      <c r="A50" s="716"/>
      <c r="B50" s="228" t="s">
        <v>227</v>
      </c>
      <c r="C50" s="231">
        <v>200</v>
      </c>
      <c r="D50" s="234">
        <v>4996.0199999999995</v>
      </c>
      <c r="E50" s="234">
        <v>6661.36</v>
      </c>
      <c r="F50" s="234">
        <f t="shared" si="1"/>
        <v>11657.38</v>
      </c>
      <c r="G50" s="234">
        <f t="shared" si="2"/>
        <v>6300</v>
      </c>
      <c r="H50" s="239">
        <v>6200</v>
      </c>
      <c r="I50" s="285">
        <f t="shared" si="3"/>
        <v>0.20824768004693447</v>
      </c>
      <c r="J50" s="277"/>
      <c r="K50" s="304">
        <v>6300</v>
      </c>
    </row>
    <row r="51" spans="1:11" s="121" customFormat="1" ht="44.25" customHeight="1" x14ac:dyDescent="0.3">
      <c r="A51" s="717" t="s">
        <v>31</v>
      </c>
      <c r="B51" s="289" t="s">
        <v>32</v>
      </c>
      <c r="C51" s="290">
        <v>270</v>
      </c>
      <c r="D51" s="238">
        <v>4996.0199999999995</v>
      </c>
      <c r="E51" s="238">
        <v>8992.8359999999993</v>
      </c>
      <c r="F51" s="238">
        <f t="shared" si="1"/>
        <v>13988.856</v>
      </c>
      <c r="G51" s="238">
        <f t="shared" si="2"/>
        <v>7351</v>
      </c>
      <c r="H51" s="288">
        <v>7700</v>
      </c>
      <c r="I51" s="285">
        <f t="shared" si="3"/>
        <v>0.27858818645646671</v>
      </c>
      <c r="J51" s="284"/>
      <c r="K51" s="303">
        <v>7351</v>
      </c>
    </row>
    <row r="52" spans="1:11" s="121" customFormat="1" ht="44.25" customHeight="1" x14ac:dyDescent="0.3">
      <c r="A52" s="718"/>
      <c r="B52" s="289" t="s">
        <v>225</v>
      </c>
      <c r="C52" s="290">
        <v>270</v>
      </c>
      <c r="D52" s="238">
        <v>4996.0199999999995</v>
      </c>
      <c r="E52" s="238">
        <v>8992.8359999999993</v>
      </c>
      <c r="F52" s="238">
        <f t="shared" si="1"/>
        <v>13988.856</v>
      </c>
      <c r="G52" s="238">
        <f t="shared" si="2"/>
        <v>6000</v>
      </c>
      <c r="H52" s="288">
        <v>7700</v>
      </c>
      <c r="I52" s="285">
        <f t="shared" si="3"/>
        <v>0.11876829843079922</v>
      </c>
      <c r="J52" s="284"/>
      <c r="K52" s="303">
        <v>6000</v>
      </c>
    </row>
    <row r="53" spans="1:11" s="121" customFormat="1" ht="44.25" customHeight="1" x14ac:dyDescent="0.3">
      <c r="A53" s="718"/>
      <c r="B53" s="237" t="s">
        <v>226</v>
      </c>
      <c r="C53" s="240">
        <v>180</v>
      </c>
      <c r="D53" s="234">
        <v>4996.0199999999995</v>
      </c>
      <c r="E53" s="234">
        <v>5995.2240000000002</v>
      </c>
      <c r="F53" s="234">
        <f t="shared" si="1"/>
        <v>10991.243999999999</v>
      </c>
      <c r="G53" s="234">
        <f t="shared" si="2"/>
        <v>6200</v>
      </c>
      <c r="H53" s="239">
        <v>6300</v>
      </c>
      <c r="I53" s="285">
        <f t="shared" si="3"/>
        <v>0.21364168999090666</v>
      </c>
      <c r="J53" s="277"/>
      <c r="K53" s="304">
        <v>6200</v>
      </c>
    </row>
    <row r="54" spans="1:11" s="121" customFormat="1" ht="44.25" customHeight="1" x14ac:dyDescent="0.3">
      <c r="A54" s="718"/>
      <c r="B54" s="237" t="s">
        <v>227</v>
      </c>
      <c r="C54" s="240">
        <v>180</v>
      </c>
      <c r="D54" s="234">
        <v>4996.0199999999995</v>
      </c>
      <c r="E54" s="234">
        <v>5995.2240000000002</v>
      </c>
      <c r="F54" s="234">
        <f t="shared" si="1"/>
        <v>10991.243999999999</v>
      </c>
      <c r="G54" s="234">
        <f t="shared" si="2"/>
        <v>5000</v>
      </c>
      <c r="H54" s="239">
        <v>6300</v>
      </c>
      <c r="I54" s="285">
        <f t="shared" si="3"/>
        <v>7.0623592265976938E-4</v>
      </c>
      <c r="J54" s="277"/>
      <c r="K54" s="304">
        <v>5000</v>
      </c>
    </row>
    <row r="55" spans="1:11" s="121" customFormat="1" ht="44.25" customHeight="1" x14ac:dyDescent="0.3">
      <c r="A55" s="718"/>
      <c r="B55" s="237" t="s">
        <v>228</v>
      </c>
      <c r="C55" s="240">
        <v>180</v>
      </c>
      <c r="D55" s="234">
        <v>4996.0199999999995</v>
      </c>
      <c r="E55" s="234">
        <v>5995.2240000000002</v>
      </c>
      <c r="F55" s="234">
        <f t="shared" si="1"/>
        <v>10991.243999999999</v>
      </c>
      <c r="G55" s="234">
        <f t="shared" si="2"/>
        <v>3900</v>
      </c>
      <c r="H55" s="239">
        <v>6300</v>
      </c>
      <c r="I55" s="285">
        <f t="shared" si="3"/>
        <v>-0.1944845969732332</v>
      </c>
      <c r="J55" s="277"/>
      <c r="K55" s="304">
        <v>3900</v>
      </c>
    </row>
    <row r="56" spans="1:11" s="121" customFormat="1" ht="44.25" customHeight="1" x14ac:dyDescent="0.3">
      <c r="A56" s="719"/>
      <c r="B56" s="291" t="s">
        <v>199</v>
      </c>
      <c r="C56" s="290">
        <v>125</v>
      </c>
      <c r="D56" s="238">
        <v>4996.0199999999995</v>
      </c>
      <c r="E56" s="238">
        <v>5995.2240000000002</v>
      </c>
      <c r="F56" s="238">
        <f t="shared" si="1"/>
        <v>10991.243999999999</v>
      </c>
      <c r="G56" s="238">
        <f t="shared" si="2"/>
        <v>3800</v>
      </c>
      <c r="H56" s="288">
        <v>6300</v>
      </c>
      <c r="I56" s="285">
        <f t="shared" si="3"/>
        <v>-0.2122292181455871</v>
      </c>
      <c r="J56" s="284"/>
      <c r="K56" s="303">
        <v>3800</v>
      </c>
    </row>
    <row r="57" spans="1:11" s="121" customFormat="1" ht="44.25" customHeight="1" x14ac:dyDescent="0.3">
      <c r="A57" s="714" t="s">
        <v>173</v>
      </c>
      <c r="B57" s="715"/>
      <c r="C57" s="241">
        <v>125</v>
      </c>
      <c r="D57" s="234">
        <v>3330.68</v>
      </c>
      <c r="E57" s="234">
        <v>4163.3499999999995</v>
      </c>
      <c r="F57" s="234">
        <f t="shared" si="1"/>
        <v>7494.0299999999988</v>
      </c>
      <c r="G57" s="234">
        <f t="shared" si="2"/>
        <v>3750</v>
      </c>
      <c r="H57" s="239">
        <v>3700</v>
      </c>
      <c r="I57" s="285">
        <f t="shared" si="3"/>
        <v>0.1071457135198768</v>
      </c>
      <c r="J57" s="277"/>
      <c r="K57" s="304">
        <v>3750</v>
      </c>
    </row>
    <row r="58" spans="1:11" s="121" customFormat="1" ht="44.25" customHeight="1" thickBot="1" x14ac:dyDescent="0.35">
      <c r="A58" s="734" t="s">
        <v>174</v>
      </c>
      <c r="B58" s="735"/>
      <c r="C58" s="305">
        <v>75</v>
      </c>
      <c r="D58" s="306">
        <v>2498.0099999999998</v>
      </c>
      <c r="E58" s="306">
        <v>1665.34</v>
      </c>
      <c r="F58" s="306">
        <f t="shared" si="1"/>
        <v>4163.3499999999995</v>
      </c>
      <c r="G58" s="306">
        <f t="shared" si="2"/>
        <v>2866</v>
      </c>
      <c r="H58" s="307">
        <v>2650</v>
      </c>
      <c r="I58" s="308">
        <f t="shared" si="3"/>
        <v>0.23507435322772266</v>
      </c>
      <c r="J58" s="309"/>
      <c r="K58" s="310">
        <v>2866</v>
      </c>
    </row>
    <row r="59" spans="1:11" x14ac:dyDescent="0.25">
      <c r="A59" s="200"/>
      <c r="B59" s="6"/>
      <c r="C59" s="64"/>
      <c r="D59" s="6"/>
      <c r="E59" s="6"/>
      <c r="F59" s="6"/>
      <c r="G59" s="6"/>
      <c r="H59" s="6"/>
      <c r="I59" s="72"/>
    </row>
    <row r="60" spans="1:11" ht="5.25" customHeight="1" x14ac:dyDescent="0.25">
      <c r="A60" s="200"/>
      <c r="B60" s="6"/>
      <c r="C60" s="64"/>
      <c r="D60" s="6"/>
      <c r="E60" s="6"/>
      <c r="F60" s="6"/>
      <c r="G60" s="6"/>
      <c r="H60" s="6"/>
      <c r="I60" s="72"/>
    </row>
    <row r="61" spans="1:11" s="165" customFormat="1" ht="29.25" customHeight="1" x14ac:dyDescent="0.4">
      <c r="A61" s="249" t="s">
        <v>151</v>
      </c>
      <c r="B61" s="250"/>
      <c r="C61" s="250"/>
      <c r="D61" s="251"/>
      <c r="E61" s="251"/>
      <c r="F61" s="250"/>
      <c r="G61" s="252"/>
      <c r="H61" s="252"/>
      <c r="I61" s="253"/>
    </row>
    <row r="62" spans="1:11" s="165" customFormat="1" ht="29.25" customHeight="1" x14ac:dyDescent="0.4">
      <c r="A62" s="325" t="s">
        <v>201</v>
      </c>
      <c r="B62" s="254"/>
      <c r="C62" s="254"/>
      <c r="D62" s="255"/>
      <c r="E62" s="255"/>
      <c r="F62" s="254"/>
      <c r="G62" s="256"/>
      <c r="H62" s="256"/>
      <c r="I62" s="257"/>
    </row>
    <row r="63" spans="1:11" s="165" customFormat="1" ht="29.25" customHeight="1" x14ac:dyDescent="0.4">
      <c r="A63" s="325" t="s">
        <v>202</v>
      </c>
      <c r="B63" s="254"/>
      <c r="C63" s="254"/>
      <c r="D63" s="255"/>
      <c r="E63" s="255"/>
      <c r="F63" s="254"/>
      <c r="G63" s="256"/>
      <c r="H63" s="256"/>
      <c r="I63" s="257"/>
    </row>
    <row r="64" spans="1:11" s="165" customFormat="1" ht="29.25" customHeight="1" x14ac:dyDescent="0.4">
      <c r="A64" s="325" t="s">
        <v>35</v>
      </c>
      <c r="B64" s="254"/>
      <c r="C64" s="254"/>
      <c r="D64" s="255"/>
      <c r="E64" s="255"/>
      <c r="F64" s="254"/>
      <c r="G64" s="256"/>
      <c r="H64" s="256"/>
      <c r="I64" s="257"/>
    </row>
    <row r="65" spans="1:9" s="165" customFormat="1" ht="29.25" customHeight="1" x14ac:dyDescent="0.4">
      <c r="A65" s="325" t="s">
        <v>36</v>
      </c>
      <c r="B65" s="254"/>
      <c r="C65" s="254"/>
      <c r="D65" s="255"/>
      <c r="E65" s="255"/>
      <c r="F65" s="254"/>
      <c r="G65" s="256"/>
      <c r="H65" s="256"/>
      <c r="I65" s="257"/>
    </row>
    <row r="66" spans="1:9" s="165" customFormat="1" ht="29.25" customHeight="1" x14ac:dyDescent="0.4">
      <c r="A66" s="325"/>
      <c r="B66" s="254"/>
      <c r="C66" s="254"/>
      <c r="D66" s="255"/>
      <c r="E66" s="255"/>
      <c r="F66" s="254"/>
      <c r="G66" s="256"/>
      <c r="H66" s="256"/>
      <c r="I66" s="257"/>
    </row>
    <row r="67" spans="1:9" s="165" customFormat="1" ht="29.25" customHeight="1" x14ac:dyDescent="0.4">
      <c r="A67" s="325" t="s">
        <v>22</v>
      </c>
      <c r="B67" s="254"/>
      <c r="C67" s="254"/>
      <c r="D67" s="255"/>
      <c r="E67" s="255"/>
      <c r="F67" s="254"/>
      <c r="G67" s="256"/>
      <c r="H67" s="256"/>
      <c r="I67" s="257"/>
    </row>
    <row r="68" spans="1:9" s="165" customFormat="1" ht="29.25" customHeight="1" x14ac:dyDescent="0.4">
      <c r="A68" s="258"/>
      <c r="B68" s="259"/>
      <c r="C68" s="259"/>
      <c r="D68" s="259"/>
      <c r="E68" s="259"/>
      <c r="F68" s="259"/>
      <c r="G68" s="259"/>
      <c r="H68" s="259"/>
      <c r="I68" s="260"/>
    </row>
    <row r="69" spans="1:9" s="72" customFormat="1" x14ac:dyDescent="0.25">
      <c r="A69" s="201"/>
    </row>
    <row r="70" spans="1:9" x14ac:dyDescent="0.25">
      <c r="G70" s="72"/>
      <c r="H70" s="72"/>
      <c r="I70" s="72"/>
    </row>
    <row r="71" spans="1:9" x14ac:dyDescent="0.25">
      <c r="A71"/>
      <c r="G71" s="72"/>
      <c r="H71" s="72"/>
      <c r="I71" s="72"/>
    </row>
  </sheetData>
  <mergeCells count="12">
    <mergeCell ref="A58:B58"/>
    <mergeCell ref="A1:I1"/>
    <mergeCell ref="A4:B4"/>
    <mergeCell ref="A6:A10"/>
    <mergeCell ref="A11:A15"/>
    <mergeCell ref="A16:B16"/>
    <mergeCell ref="A17:B17"/>
    <mergeCell ref="A32:B32"/>
    <mergeCell ref="A34:A42"/>
    <mergeCell ref="A43:A50"/>
    <mergeCell ref="A51:A56"/>
    <mergeCell ref="A57:B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="50" zoomScaleNormal="50" workbookViewId="0">
      <selection activeCell="K6" sqref="K6"/>
    </sheetView>
  </sheetViews>
  <sheetFormatPr defaultRowHeight="21" x14ac:dyDescent="0.35"/>
  <cols>
    <col min="1" max="1" width="21.5703125" style="202" customWidth="1"/>
    <col min="2" max="2" width="69.85546875" style="130" customWidth="1"/>
    <col min="3" max="6" width="31.28515625" customWidth="1"/>
    <col min="7" max="7" width="15.140625" customWidth="1"/>
    <col min="8" max="8" width="16.42578125" customWidth="1"/>
    <col min="9" max="11" width="13.5703125" customWidth="1"/>
    <col min="12" max="16" width="17.5703125" customWidth="1"/>
    <col min="17" max="30" width="13.5703125" customWidth="1"/>
  </cols>
  <sheetData>
    <row r="1" spans="1:19" ht="28.5" customHeight="1" x14ac:dyDescent="0.25">
      <c r="A1" s="660" t="s">
        <v>196</v>
      </c>
      <c r="B1" s="660"/>
      <c r="C1" s="660"/>
      <c r="D1" s="660"/>
      <c r="E1" s="660"/>
      <c r="F1" s="660"/>
    </row>
    <row r="2" spans="1:19" x14ac:dyDescent="0.25">
      <c r="A2" s="192"/>
      <c r="B2" s="2"/>
      <c r="C2" s="2"/>
      <c r="D2" s="2"/>
      <c r="E2" s="2"/>
      <c r="F2" s="2"/>
    </row>
    <row r="3" spans="1:19" ht="26.25" x14ac:dyDescent="0.25">
      <c r="A3" s="236" t="s">
        <v>1</v>
      </c>
      <c r="B3" s="4"/>
      <c r="C3" s="4"/>
      <c r="D3" s="4"/>
      <c r="E3" s="4"/>
      <c r="F3" s="4"/>
      <c r="L3" s="357" t="s">
        <v>248</v>
      </c>
      <c r="M3" s="357" t="s">
        <v>250</v>
      </c>
      <c r="N3" s="357" t="s">
        <v>250</v>
      </c>
      <c r="O3" s="357" t="s">
        <v>250</v>
      </c>
      <c r="P3" s="357" t="s">
        <v>250</v>
      </c>
      <c r="Q3" s="357" t="s">
        <v>254</v>
      </c>
    </row>
    <row r="4" spans="1:19" ht="65.25" customHeight="1" x14ac:dyDescent="0.25">
      <c r="A4" s="726" t="s">
        <v>2</v>
      </c>
      <c r="B4" s="726"/>
      <c r="C4" s="322" t="s">
        <v>3</v>
      </c>
      <c r="D4" s="322" t="s">
        <v>229</v>
      </c>
      <c r="E4" s="322" t="s">
        <v>253</v>
      </c>
      <c r="F4" s="322" t="s">
        <v>231</v>
      </c>
      <c r="G4" s="352" t="s">
        <v>244</v>
      </c>
      <c r="H4" s="352" t="s">
        <v>249</v>
      </c>
      <c r="I4" s="352" t="s">
        <v>37</v>
      </c>
      <c r="J4" s="352" t="s">
        <v>245</v>
      </c>
      <c r="K4" s="355" t="s">
        <v>246</v>
      </c>
      <c r="L4" s="355" t="s">
        <v>247</v>
      </c>
      <c r="M4" s="355" t="s">
        <v>249</v>
      </c>
      <c r="N4" s="355" t="s">
        <v>251</v>
      </c>
      <c r="O4" s="355" t="s">
        <v>252</v>
      </c>
      <c r="P4" s="355" t="s">
        <v>247</v>
      </c>
      <c r="Q4" s="355" t="s">
        <v>249</v>
      </c>
      <c r="R4" s="355" t="s">
        <v>251</v>
      </c>
      <c r="S4" s="355" t="s">
        <v>247</v>
      </c>
    </row>
    <row r="5" spans="1:19" s="233" customFormat="1" ht="33.75" customHeight="1" x14ac:dyDescent="0.45">
      <c r="A5" s="229"/>
      <c r="B5" s="346"/>
      <c r="C5" s="231"/>
      <c r="D5" s="231"/>
      <c r="E5" s="231"/>
      <c r="F5" s="231"/>
      <c r="H5" s="357">
        <v>0.93</v>
      </c>
    </row>
    <row r="6" spans="1:19" s="233" customFormat="1" ht="30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19079.32115</v>
      </c>
      <c r="I6" s="233">
        <v>0.75</v>
      </c>
      <c r="J6" s="354">
        <f>H6*0.0066</f>
        <v>125.92351959</v>
      </c>
      <c r="K6" s="356">
        <f>(H6-10000)*0.2+1500</f>
        <v>3315.8642300000001</v>
      </c>
      <c r="L6" s="354">
        <f>H6-K6-J6</f>
        <v>15637.53340041</v>
      </c>
      <c r="M6" s="354">
        <f>H6*2</f>
        <v>38158.6423</v>
      </c>
      <c r="N6" s="354">
        <f>(M6-25000)*0.27+4500</f>
        <v>8052.8334210000003</v>
      </c>
      <c r="O6" s="354">
        <f>N6-K6</f>
        <v>4736.9691910000001</v>
      </c>
      <c r="P6" s="354">
        <f>H6-O6-J6</f>
        <v>14216.42843941</v>
      </c>
      <c r="Q6" s="359">
        <f>H6*3</f>
        <v>57237.963449999996</v>
      </c>
      <c r="R6" s="358">
        <f>H6*0.27</f>
        <v>5151.4167105000006</v>
      </c>
    </row>
    <row r="7" spans="1:19" s="233" customFormat="1" ht="30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 t="shared" ref="H7:H27" si="0">D7+E7*$H$5*$I7-G7</f>
        <v>19079.32115</v>
      </c>
      <c r="I7" s="233">
        <v>0.75</v>
      </c>
      <c r="J7" s="354">
        <f t="shared" ref="J7:J53" si="1">H7*0.0066</f>
        <v>125.92351959</v>
      </c>
      <c r="K7" s="356">
        <f t="shared" ref="K7:K23" si="2">(H7-10000)*0.2+1500</f>
        <v>3315.8642300000001</v>
      </c>
      <c r="L7" s="354">
        <f t="shared" ref="L7:L53" si="3">H7-K7-J7</f>
        <v>15637.53340041</v>
      </c>
      <c r="M7" s="354">
        <f t="shared" ref="M7:M53" si="4">H7*2</f>
        <v>38158.6423</v>
      </c>
      <c r="N7" s="354">
        <f t="shared" ref="N7:N18" si="5">(M7-25000)*0.27+4500</f>
        <v>8052.8334210000003</v>
      </c>
      <c r="O7" s="354">
        <f t="shared" ref="O7:O53" si="6">N7-K7</f>
        <v>4736.9691910000001</v>
      </c>
      <c r="P7" s="354">
        <f t="shared" ref="P7:P53" si="7">H7-O7-J7</f>
        <v>14216.42843941</v>
      </c>
      <c r="Q7" s="359">
        <f t="shared" ref="Q7:Q53" si="8">H7*3</f>
        <v>57237.963449999996</v>
      </c>
      <c r="R7" s="358">
        <f t="shared" ref="R7:R19" si="9">H7*0.27</f>
        <v>5151.4167105000006</v>
      </c>
    </row>
    <row r="8" spans="1:19" s="233" customFormat="1" ht="30" customHeight="1" x14ac:dyDescent="0.45">
      <c r="A8" s="728"/>
      <c r="B8" s="324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si="0"/>
        <v>19079.32115</v>
      </c>
      <c r="I8" s="233">
        <v>0.75</v>
      </c>
      <c r="J8" s="354">
        <f t="shared" si="1"/>
        <v>125.92351959</v>
      </c>
      <c r="K8" s="356">
        <f t="shared" si="2"/>
        <v>3315.8642300000001</v>
      </c>
      <c r="L8" s="354">
        <f t="shared" si="3"/>
        <v>15637.53340041</v>
      </c>
      <c r="M8" s="354">
        <f t="shared" si="4"/>
        <v>38158.6423</v>
      </c>
      <c r="N8" s="354">
        <f t="shared" si="5"/>
        <v>8052.8334210000003</v>
      </c>
      <c r="O8" s="354">
        <f t="shared" si="6"/>
        <v>4736.9691910000001</v>
      </c>
      <c r="P8" s="354">
        <f t="shared" si="7"/>
        <v>14216.42843941</v>
      </c>
      <c r="Q8" s="359">
        <f t="shared" si="8"/>
        <v>57237.963449999996</v>
      </c>
      <c r="R8" s="358">
        <f t="shared" si="9"/>
        <v>5151.4167105000006</v>
      </c>
    </row>
    <row r="9" spans="1:19" s="233" customFormat="1" ht="30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10">D9+E9</f>
        <v>19983.72</v>
      </c>
      <c r="G9" s="233">
        <v>359</v>
      </c>
      <c r="H9" s="353">
        <f t="shared" si="0"/>
        <v>15594.5972</v>
      </c>
      <c r="I9" s="233">
        <v>0.75</v>
      </c>
      <c r="J9" s="354">
        <f t="shared" si="1"/>
        <v>102.92434152</v>
      </c>
      <c r="K9" s="356">
        <f t="shared" si="2"/>
        <v>2618.9194400000001</v>
      </c>
      <c r="L9" s="354">
        <f t="shared" si="3"/>
        <v>12872.753418480001</v>
      </c>
      <c r="M9" s="354">
        <f t="shared" si="4"/>
        <v>31189.1944</v>
      </c>
      <c r="N9" s="354">
        <f t="shared" si="5"/>
        <v>6171.082488</v>
      </c>
      <c r="O9" s="354">
        <f t="shared" si="6"/>
        <v>3552.1630479999999</v>
      </c>
      <c r="P9" s="354">
        <f t="shared" si="7"/>
        <v>11939.50981048</v>
      </c>
      <c r="Q9" s="359">
        <f t="shared" si="8"/>
        <v>46783.791599999997</v>
      </c>
      <c r="R9" s="358">
        <f t="shared" si="9"/>
        <v>4210.541244</v>
      </c>
    </row>
    <row r="10" spans="1:19" s="233" customFormat="1" ht="30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10"/>
        <v>19983.72</v>
      </c>
      <c r="G10" s="233">
        <v>359</v>
      </c>
      <c r="H10" s="353">
        <f t="shared" si="0"/>
        <v>15594.5972</v>
      </c>
      <c r="I10" s="233">
        <v>0.75</v>
      </c>
      <c r="J10" s="354">
        <f t="shared" si="1"/>
        <v>102.92434152</v>
      </c>
      <c r="K10" s="356">
        <f t="shared" si="2"/>
        <v>2618.9194400000001</v>
      </c>
      <c r="L10" s="354">
        <f t="shared" si="3"/>
        <v>12872.753418480001</v>
      </c>
      <c r="M10" s="354">
        <f t="shared" si="4"/>
        <v>31189.1944</v>
      </c>
      <c r="N10" s="354">
        <f t="shared" si="5"/>
        <v>6171.082488</v>
      </c>
      <c r="O10" s="354">
        <f t="shared" si="6"/>
        <v>3552.1630479999999</v>
      </c>
      <c r="P10" s="354">
        <f t="shared" si="7"/>
        <v>11939.50981048</v>
      </c>
      <c r="Q10" s="359">
        <f t="shared" si="8"/>
        <v>46783.791599999997</v>
      </c>
      <c r="R10" s="358">
        <f t="shared" si="9"/>
        <v>4210.541244</v>
      </c>
    </row>
    <row r="11" spans="1:19" s="233" customFormat="1" ht="30" customHeight="1" x14ac:dyDescent="0.45">
      <c r="A11" s="728"/>
      <c r="B11" s="324" t="s">
        <v>234</v>
      </c>
      <c r="C11" s="231">
        <v>300</v>
      </c>
      <c r="D11" s="238">
        <v>6661</v>
      </c>
      <c r="E11" s="234">
        <v>9992.0399999999991</v>
      </c>
      <c r="F11" s="234">
        <f t="shared" si="10"/>
        <v>16653.04</v>
      </c>
      <c r="G11" s="233">
        <v>359</v>
      </c>
      <c r="H11" s="353">
        <f t="shared" si="0"/>
        <v>13271.447899999999</v>
      </c>
      <c r="I11" s="233">
        <v>0.75</v>
      </c>
      <c r="J11" s="354">
        <f t="shared" si="1"/>
        <v>87.591556139999994</v>
      </c>
      <c r="K11" s="356">
        <f t="shared" si="2"/>
        <v>2154.2895799999997</v>
      </c>
      <c r="L11" s="354">
        <f t="shared" si="3"/>
        <v>11029.566763859999</v>
      </c>
      <c r="M11" s="354">
        <f t="shared" si="4"/>
        <v>26542.895799999998</v>
      </c>
      <c r="N11" s="354">
        <f t="shared" si="5"/>
        <v>4916.5818659999995</v>
      </c>
      <c r="O11" s="354">
        <f t="shared" si="6"/>
        <v>2762.2922859999999</v>
      </c>
      <c r="P11" s="354">
        <f t="shared" si="7"/>
        <v>10421.56405786</v>
      </c>
      <c r="Q11" s="359">
        <f t="shared" si="8"/>
        <v>39814.343699999998</v>
      </c>
      <c r="R11" s="358">
        <f t="shared" si="9"/>
        <v>3583.2909330000002</v>
      </c>
    </row>
    <row r="12" spans="1:19" s="233" customFormat="1" ht="30" customHeight="1" x14ac:dyDescent="0.45">
      <c r="A12" s="728"/>
      <c r="B12" s="324" t="s">
        <v>236</v>
      </c>
      <c r="C12" s="231">
        <v>300</v>
      </c>
      <c r="D12" s="238">
        <v>6661</v>
      </c>
      <c r="E12" s="234">
        <v>9992.0399999999991</v>
      </c>
      <c r="F12" s="234">
        <f t="shared" si="10"/>
        <v>16653.04</v>
      </c>
      <c r="G12" s="233">
        <v>359</v>
      </c>
      <c r="H12" s="353">
        <f t="shared" si="0"/>
        <v>13271.447899999999</v>
      </c>
      <c r="I12" s="233">
        <v>0.75</v>
      </c>
      <c r="J12" s="354">
        <f t="shared" si="1"/>
        <v>87.591556139999994</v>
      </c>
      <c r="K12" s="356">
        <f t="shared" si="2"/>
        <v>2154.2895799999997</v>
      </c>
      <c r="L12" s="354">
        <f t="shared" si="3"/>
        <v>11029.566763859999</v>
      </c>
      <c r="M12" s="354">
        <f t="shared" si="4"/>
        <v>26542.895799999998</v>
      </c>
      <c r="N12" s="354">
        <f t="shared" si="5"/>
        <v>4916.5818659999995</v>
      </c>
      <c r="O12" s="354">
        <f t="shared" si="6"/>
        <v>2762.2922859999999</v>
      </c>
      <c r="P12" s="354">
        <f t="shared" si="7"/>
        <v>10421.56405786</v>
      </c>
      <c r="Q12" s="359">
        <f t="shared" si="8"/>
        <v>39814.343699999998</v>
      </c>
      <c r="R12" s="358">
        <f t="shared" si="9"/>
        <v>3583.2909330000002</v>
      </c>
    </row>
    <row r="13" spans="1:19" s="233" customFormat="1" ht="30" customHeight="1" x14ac:dyDescent="0.45">
      <c r="A13" s="728"/>
      <c r="B13" s="324" t="s">
        <v>235</v>
      </c>
      <c r="C13" s="231">
        <v>300</v>
      </c>
      <c r="D13" s="238">
        <v>6661</v>
      </c>
      <c r="E13" s="234">
        <v>9992.0399999999991</v>
      </c>
      <c r="F13" s="234">
        <f t="shared" si="10"/>
        <v>16653.04</v>
      </c>
      <c r="G13" s="233">
        <v>359</v>
      </c>
      <c r="H13" s="353">
        <f t="shared" si="0"/>
        <v>13271.447899999999</v>
      </c>
      <c r="I13" s="233">
        <v>0.75</v>
      </c>
      <c r="J13" s="354">
        <f t="shared" si="1"/>
        <v>87.591556139999994</v>
      </c>
      <c r="K13" s="356">
        <f t="shared" si="2"/>
        <v>2154.2895799999997</v>
      </c>
      <c r="L13" s="354">
        <f t="shared" si="3"/>
        <v>11029.566763859999</v>
      </c>
      <c r="M13" s="354">
        <f t="shared" si="4"/>
        <v>26542.895799999998</v>
      </c>
      <c r="N13" s="354">
        <f t="shared" si="5"/>
        <v>4916.5818659999995</v>
      </c>
      <c r="O13" s="354">
        <f t="shared" si="6"/>
        <v>2762.2922859999999</v>
      </c>
      <c r="P13" s="354">
        <f t="shared" si="7"/>
        <v>10421.56405786</v>
      </c>
      <c r="Q13" s="359">
        <f t="shared" si="8"/>
        <v>39814.343699999998</v>
      </c>
      <c r="R13" s="358">
        <f t="shared" si="9"/>
        <v>3583.2909330000002</v>
      </c>
    </row>
    <row r="14" spans="1:19" s="233" customFormat="1" ht="30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10"/>
        <v>16653.04</v>
      </c>
      <c r="G14" s="233">
        <v>359</v>
      </c>
      <c r="H14" s="353">
        <f t="shared" si="0"/>
        <v>13271.447899999999</v>
      </c>
      <c r="I14" s="233">
        <v>0.75</v>
      </c>
      <c r="J14" s="354">
        <f t="shared" si="1"/>
        <v>87.591556139999994</v>
      </c>
      <c r="K14" s="356">
        <f t="shared" si="2"/>
        <v>2154.2895799999997</v>
      </c>
      <c r="L14" s="354">
        <f t="shared" si="3"/>
        <v>11029.566763859999</v>
      </c>
      <c r="M14" s="354">
        <f t="shared" si="4"/>
        <v>26542.895799999998</v>
      </c>
      <c r="N14" s="354">
        <f t="shared" si="5"/>
        <v>4916.5818659999995</v>
      </c>
      <c r="O14" s="354">
        <f t="shared" si="6"/>
        <v>2762.2922859999999</v>
      </c>
      <c r="P14" s="354">
        <f t="shared" si="7"/>
        <v>10421.56405786</v>
      </c>
      <c r="Q14" s="359">
        <f t="shared" si="8"/>
        <v>39814.343699999998</v>
      </c>
      <c r="R14" s="358">
        <f t="shared" si="9"/>
        <v>3583.2909330000002</v>
      </c>
    </row>
    <row r="15" spans="1:19" s="233" customFormat="1" ht="30" customHeight="1" x14ac:dyDescent="0.45">
      <c r="A15" s="730" t="s">
        <v>15</v>
      </c>
      <c r="B15" s="324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10"/>
        <v>24980.1</v>
      </c>
      <c r="G15" s="233">
        <v>359</v>
      </c>
      <c r="H15" s="353">
        <f t="shared" si="0"/>
        <v>18575.915799999999</v>
      </c>
      <c r="I15" s="233">
        <v>0.75</v>
      </c>
      <c r="J15" s="354">
        <f t="shared" si="1"/>
        <v>122.60104428</v>
      </c>
      <c r="K15" s="356">
        <f t="shared" si="2"/>
        <v>3215.1831599999996</v>
      </c>
      <c r="L15" s="354">
        <f t="shared" si="3"/>
        <v>15238.131595719999</v>
      </c>
      <c r="M15" s="354">
        <f t="shared" si="4"/>
        <v>37151.831599999998</v>
      </c>
      <c r="N15" s="354">
        <f t="shared" si="5"/>
        <v>7780.9945319999997</v>
      </c>
      <c r="O15" s="354">
        <f t="shared" si="6"/>
        <v>4565.8113720000001</v>
      </c>
      <c r="P15" s="354">
        <f t="shared" si="7"/>
        <v>13887.503383719999</v>
      </c>
      <c r="Q15" s="359">
        <f t="shared" si="8"/>
        <v>55727.747399999993</v>
      </c>
      <c r="R15" s="358">
        <f t="shared" si="9"/>
        <v>5015.4972660000003</v>
      </c>
    </row>
    <row r="16" spans="1:19" s="233" customFormat="1" ht="30" customHeight="1" x14ac:dyDescent="0.45">
      <c r="A16" s="730"/>
      <c r="B16" s="324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10"/>
        <v>24980.1</v>
      </c>
      <c r="G16" s="233">
        <v>359</v>
      </c>
      <c r="H16" s="353">
        <f t="shared" si="0"/>
        <v>18575.915799999999</v>
      </c>
      <c r="I16" s="233">
        <v>0.75</v>
      </c>
      <c r="J16" s="354">
        <f t="shared" si="1"/>
        <v>122.60104428</v>
      </c>
      <c r="K16" s="356">
        <f t="shared" si="2"/>
        <v>3215.1831599999996</v>
      </c>
      <c r="L16" s="354">
        <f t="shared" si="3"/>
        <v>15238.131595719999</v>
      </c>
      <c r="M16" s="354">
        <f t="shared" si="4"/>
        <v>37151.831599999998</v>
      </c>
      <c r="N16" s="354">
        <f t="shared" si="5"/>
        <v>7780.9945319999997</v>
      </c>
      <c r="O16" s="354">
        <f t="shared" si="6"/>
        <v>4565.8113720000001</v>
      </c>
      <c r="P16" s="354">
        <f t="shared" si="7"/>
        <v>13887.503383719999</v>
      </c>
      <c r="Q16" s="359">
        <f t="shared" si="8"/>
        <v>55727.747399999993</v>
      </c>
      <c r="R16" s="358">
        <f t="shared" si="9"/>
        <v>5015.4972660000003</v>
      </c>
    </row>
    <row r="17" spans="1:18" s="233" customFormat="1" ht="30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10"/>
        <v>24980.1</v>
      </c>
      <c r="G17" s="233">
        <v>359</v>
      </c>
      <c r="H17" s="353">
        <f t="shared" si="0"/>
        <v>18575.915799999999</v>
      </c>
      <c r="I17" s="233">
        <v>0.75</v>
      </c>
      <c r="J17" s="354">
        <f t="shared" si="1"/>
        <v>122.60104428</v>
      </c>
      <c r="K17" s="356">
        <f t="shared" si="2"/>
        <v>3215.1831599999996</v>
      </c>
      <c r="L17" s="354">
        <f t="shared" si="3"/>
        <v>15238.131595719999</v>
      </c>
      <c r="M17" s="354">
        <f t="shared" si="4"/>
        <v>37151.831599999998</v>
      </c>
      <c r="N17" s="354">
        <f t="shared" si="5"/>
        <v>7780.9945319999997</v>
      </c>
      <c r="O17" s="354">
        <f t="shared" si="6"/>
        <v>4565.8113720000001</v>
      </c>
      <c r="P17" s="354">
        <f t="shared" si="7"/>
        <v>13887.503383719999</v>
      </c>
      <c r="Q17" s="359">
        <f t="shared" si="8"/>
        <v>55727.747399999993</v>
      </c>
      <c r="R17" s="358">
        <f t="shared" si="9"/>
        <v>5015.4972660000003</v>
      </c>
    </row>
    <row r="18" spans="1:18" s="233" customFormat="1" ht="30" customHeight="1" x14ac:dyDescent="0.45">
      <c r="A18" s="730"/>
      <c r="B18" s="324" t="s">
        <v>32</v>
      </c>
      <c r="C18" s="231">
        <v>450</v>
      </c>
      <c r="D18" s="234">
        <v>4996.0199999999995</v>
      </c>
      <c r="E18" s="234">
        <v>14988.06</v>
      </c>
      <c r="F18" s="234">
        <f t="shared" si="10"/>
        <v>19984.079999999998</v>
      </c>
      <c r="G18" s="233">
        <v>359</v>
      </c>
      <c r="H18" s="353">
        <f t="shared" si="0"/>
        <v>15091.191849999999</v>
      </c>
      <c r="I18" s="233">
        <v>0.75</v>
      </c>
      <c r="J18" s="354">
        <f t="shared" si="1"/>
        <v>99.601866209999997</v>
      </c>
      <c r="K18" s="356">
        <f t="shared" si="2"/>
        <v>2518.23837</v>
      </c>
      <c r="L18" s="354">
        <f t="shared" si="3"/>
        <v>12473.351613790001</v>
      </c>
      <c r="M18" s="354">
        <f t="shared" si="4"/>
        <v>30182.383699999998</v>
      </c>
      <c r="N18" s="354">
        <f t="shared" si="5"/>
        <v>5899.2435989999994</v>
      </c>
      <c r="O18" s="354">
        <f t="shared" si="6"/>
        <v>3381.0052289999994</v>
      </c>
      <c r="P18" s="354">
        <f t="shared" si="7"/>
        <v>11610.584754790001</v>
      </c>
      <c r="Q18" s="359">
        <f t="shared" si="8"/>
        <v>45273.575549999994</v>
      </c>
      <c r="R18" s="358">
        <f t="shared" si="9"/>
        <v>4074.6217995000002</v>
      </c>
    </row>
    <row r="19" spans="1:18" s="233" customFormat="1" ht="30" customHeight="1" x14ac:dyDescent="0.45">
      <c r="A19" s="730"/>
      <c r="B19" s="324" t="s">
        <v>237</v>
      </c>
      <c r="C19" s="231">
        <v>450</v>
      </c>
      <c r="D19" s="234">
        <v>4996.0199999999995</v>
      </c>
      <c r="E19" s="234">
        <v>14988.06</v>
      </c>
      <c r="F19" s="234">
        <f t="shared" si="10"/>
        <v>19984.079999999998</v>
      </c>
      <c r="G19" s="233">
        <v>359</v>
      </c>
      <c r="H19" s="353">
        <f t="shared" si="0"/>
        <v>15091.191849999999</v>
      </c>
      <c r="I19" s="233">
        <v>0.75</v>
      </c>
      <c r="J19" s="354">
        <f t="shared" si="1"/>
        <v>99.601866209999997</v>
      </c>
      <c r="K19" s="356">
        <f t="shared" si="2"/>
        <v>2518.23837</v>
      </c>
      <c r="L19" s="354">
        <f t="shared" si="3"/>
        <v>12473.351613790001</v>
      </c>
      <c r="M19" s="354">
        <f t="shared" si="4"/>
        <v>30182.383699999998</v>
      </c>
      <c r="N19" s="354">
        <f>(M19-25000)*0.27+4500</f>
        <v>5899.2435989999994</v>
      </c>
      <c r="O19" s="354">
        <f t="shared" si="6"/>
        <v>3381.0052289999994</v>
      </c>
      <c r="P19" s="354">
        <f t="shared" si="7"/>
        <v>11610.584754790001</v>
      </c>
      <c r="Q19" s="359">
        <f t="shared" si="8"/>
        <v>45273.575549999994</v>
      </c>
      <c r="R19" s="358">
        <f t="shared" si="9"/>
        <v>4074.6217995000002</v>
      </c>
    </row>
    <row r="20" spans="1:18" s="233" customFormat="1" ht="30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0"/>
        <v>11606.4679</v>
      </c>
      <c r="I20" s="233">
        <v>0.75</v>
      </c>
      <c r="J20" s="354">
        <f t="shared" si="1"/>
        <v>76.602688139999998</v>
      </c>
      <c r="K20" s="356">
        <f t="shared" si="2"/>
        <v>1821.29358</v>
      </c>
      <c r="L20" s="354">
        <f t="shared" si="3"/>
        <v>9708.5716318600007</v>
      </c>
      <c r="M20" s="354">
        <f t="shared" si="4"/>
        <v>23212.935799999999</v>
      </c>
      <c r="N20" s="356">
        <f>(M20-10000)*0.2+1500</f>
        <v>4142.58716</v>
      </c>
      <c r="O20" s="354">
        <f t="shared" si="6"/>
        <v>2321.29358</v>
      </c>
      <c r="P20" s="354">
        <f t="shared" si="7"/>
        <v>9208.5716318600007</v>
      </c>
      <c r="Q20" s="359">
        <f t="shared" si="8"/>
        <v>34819.403699999995</v>
      </c>
      <c r="R20" s="358">
        <f>(25000-M20)*0.2+(Q20-25000)*0.27</f>
        <v>3008.6518389999992</v>
      </c>
    </row>
    <row r="21" spans="1:18" s="233" customFormat="1" ht="30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0"/>
        <v>11606.4679</v>
      </c>
      <c r="I21" s="233">
        <v>0.75</v>
      </c>
      <c r="J21" s="354">
        <f t="shared" si="1"/>
        <v>76.602688139999998</v>
      </c>
      <c r="K21" s="356">
        <f t="shared" si="2"/>
        <v>1821.29358</v>
      </c>
      <c r="L21" s="354">
        <f t="shared" si="3"/>
        <v>9708.5716318600007</v>
      </c>
      <c r="M21" s="354">
        <f t="shared" si="4"/>
        <v>23212.935799999999</v>
      </c>
      <c r="N21" s="356">
        <f>(M21-10000)*0.2+1500</f>
        <v>4142.58716</v>
      </c>
      <c r="O21" s="354">
        <f t="shared" si="6"/>
        <v>2321.29358</v>
      </c>
      <c r="P21" s="354">
        <f t="shared" si="7"/>
        <v>9208.5716318600007</v>
      </c>
      <c r="Q21" s="359">
        <f t="shared" si="8"/>
        <v>34819.403699999995</v>
      </c>
      <c r="R21" s="358">
        <f t="shared" ref="R21:R26" si="11">(25000-M21)*0.2+(Q21-25000)*0.27</f>
        <v>3008.6518389999992</v>
      </c>
    </row>
    <row r="22" spans="1:18" s="233" customFormat="1" ht="30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0"/>
        <v>11606.4679</v>
      </c>
      <c r="I22" s="233">
        <v>0.75</v>
      </c>
      <c r="J22" s="354">
        <f t="shared" si="1"/>
        <v>76.602688139999998</v>
      </c>
      <c r="K22" s="356">
        <f t="shared" si="2"/>
        <v>1821.29358</v>
      </c>
      <c r="L22" s="354">
        <f t="shared" si="3"/>
        <v>9708.5716318600007</v>
      </c>
      <c r="M22" s="354">
        <f t="shared" si="4"/>
        <v>23212.935799999999</v>
      </c>
      <c r="N22" s="356">
        <f t="shared" ref="N22:N26" si="12">(M22-10000)*0.2+1500</f>
        <v>4142.58716</v>
      </c>
      <c r="O22" s="354">
        <f t="shared" si="6"/>
        <v>2321.29358</v>
      </c>
      <c r="P22" s="354">
        <f t="shared" si="7"/>
        <v>9208.5716318600007</v>
      </c>
      <c r="Q22" s="359">
        <f t="shared" si="8"/>
        <v>34819.403699999995</v>
      </c>
      <c r="R22" s="358">
        <f t="shared" si="11"/>
        <v>3008.6518389999992</v>
      </c>
    </row>
    <row r="23" spans="1:18" s="233" customFormat="1" ht="30" customHeight="1" x14ac:dyDescent="0.45">
      <c r="A23" s="730"/>
      <c r="B23" s="324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0"/>
        <v>11606.4679</v>
      </c>
      <c r="I23" s="233">
        <v>0.75</v>
      </c>
      <c r="J23" s="354">
        <f t="shared" si="1"/>
        <v>76.602688139999998</v>
      </c>
      <c r="K23" s="356">
        <f t="shared" si="2"/>
        <v>1821.29358</v>
      </c>
      <c r="L23" s="354">
        <f t="shared" si="3"/>
        <v>9708.5716318600007</v>
      </c>
      <c r="M23" s="354">
        <f t="shared" si="4"/>
        <v>23212.935799999999</v>
      </c>
      <c r="N23" s="356">
        <f t="shared" si="12"/>
        <v>4142.58716</v>
      </c>
      <c r="O23" s="354">
        <f t="shared" si="6"/>
        <v>2321.29358</v>
      </c>
      <c r="P23" s="354">
        <f t="shared" si="7"/>
        <v>9208.5716318600007</v>
      </c>
      <c r="Q23" s="359">
        <f t="shared" si="8"/>
        <v>34819.403699999995</v>
      </c>
      <c r="R23" s="358">
        <f t="shared" si="11"/>
        <v>3008.6518389999992</v>
      </c>
    </row>
    <row r="24" spans="1:18" s="233" customFormat="1" ht="30" customHeight="1" x14ac:dyDescent="0.45">
      <c r="A24" s="731" t="s">
        <v>172</v>
      </c>
      <c r="B24" s="348" t="s">
        <v>219</v>
      </c>
      <c r="C24" s="317">
        <v>125</v>
      </c>
      <c r="D24" s="238">
        <v>3330.68</v>
      </c>
      <c r="E24" s="238">
        <v>4163.3499999999995</v>
      </c>
      <c r="F24" s="238">
        <f t="shared" ref="F24:F26" si="13">D24+E24</f>
        <v>7494.0299999999988</v>
      </c>
      <c r="G24" s="233">
        <v>359</v>
      </c>
      <c r="H24" s="353">
        <f t="shared" si="0"/>
        <v>5875.6166249999997</v>
      </c>
      <c r="I24" s="233">
        <v>0.75</v>
      </c>
      <c r="J24" s="354">
        <f t="shared" si="1"/>
        <v>38.779069724999999</v>
      </c>
      <c r="K24" s="356">
        <f t="shared" ref="K24:K27" si="14">H24*0.15</f>
        <v>881.3424937499999</v>
      </c>
      <c r="L24" s="354">
        <f t="shared" si="3"/>
        <v>4955.495061525</v>
      </c>
      <c r="M24" s="354">
        <f t="shared" si="4"/>
        <v>11751.233249999999</v>
      </c>
      <c r="N24" s="356">
        <f t="shared" si="12"/>
        <v>1850.2466499999998</v>
      </c>
      <c r="O24" s="354">
        <f t="shared" si="6"/>
        <v>968.90415624999991</v>
      </c>
      <c r="P24" s="354">
        <f t="shared" si="7"/>
        <v>4867.9333990249997</v>
      </c>
      <c r="Q24" s="359">
        <f t="shared" si="8"/>
        <v>17626.849875</v>
      </c>
      <c r="R24" s="358">
        <f t="shared" si="11"/>
        <v>659.00281625000025</v>
      </c>
    </row>
    <row r="25" spans="1:18" s="233" customFormat="1" ht="30" customHeight="1" x14ac:dyDescent="0.45">
      <c r="A25" s="732"/>
      <c r="B25" s="323" t="s">
        <v>241</v>
      </c>
      <c r="C25" s="235">
        <v>125</v>
      </c>
      <c r="D25" s="234">
        <v>3330.68</v>
      </c>
      <c r="E25" s="234">
        <v>4163.3499999999995</v>
      </c>
      <c r="F25" s="234">
        <f t="shared" si="13"/>
        <v>7494.0299999999988</v>
      </c>
      <c r="G25" s="233">
        <v>278</v>
      </c>
      <c r="H25" s="353">
        <f t="shared" si="0"/>
        <v>5956.6166249999997</v>
      </c>
      <c r="I25" s="233">
        <v>0.75</v>
      </c>
      <c r="J25" s="354">
        <f t="shared" si="1"/>
        <v>39.313669724999997</v>
      </c>
      <c r="K25" s="356">
        <f t="shared" si="14"/>
        <v>893.49249374999988</v>
      </c>
      <c r="L25" s="354">
        <f t="shared" si="3"/>
        <v>5023.8104615249995</v>
      </c>
      <c r="M25" s="354">
        <f t="shared" si="4"/>
        <v>11913.233249999999</v>
      </c>
      <c r="N25" s="356">
        <f t="shared" si="12"/>
        <v>1882.6466499999999</v>
      </c>
      <c r="O25" s="354">
        <f t="shared" si="6"/>
        <v>989.15415625000003</v>
      </c>
      <c r="P25" s="354">
        <f t="shared" si="7"/>
        <v>4928.1487990249998</v>
      </c>
      <c r="Q25" s="359">
        <f t="shared" si="8"/>
        <v>17869.849875</v>
      </c>
      <c r="R25" s="358">
        <f t="shared" si="11"/>
        <v>692.21281625000006</v>
      </c>
    </row>
    <row r="26" spans="1:18" s="233" customFormat="1" ht="30" customHeight="1" x14ac:dyDescent="0.45">
      <c r="A26" s="733"/>
      <c r="B26" s="348" t="s">
        <v>198</v>
      </c>
      <c r="C26" s="317">
        <v>125</v>
      </c>
      <c r="D26" s="238">
        <v>3330.68</v>
      </c>
      <c r="E26" s="238">
        <v>4163.3499999999995</v>
      </c>
      <c r="F26" s="238">
        <f t="shared" si="13"/>
        <v>7494.0299999999988</v>
      </c>
      <c r="G26" s="233">
        <v>278</v>
      </c>
      <c r="H26" s="353">
        <f t="shared" si="0"/>
        <v>5956.6166249999997</v>
      </c>
      <c r="I26" s="233">
        <v>0.75</v>
      </c>
      <c r="J26" s="354">
        <f t="shared" si="1"/>
        <v>39.313669724999997</v>
      </c>
      <c r="K26" s="356">
        <f t="shared" si="14"/>
        <v>893.49249374999988</v>
      </c>
      <c r="L26" s="354">
        <f t="shared" si="3"/>
        <v>5023.8104615249995</v>
      </c>
      <c r="M26" s="354">
        <f t="shared" si="4"/>
        <v>11913.233249999999</v>
      </c>
      <c r="N26" s="356">
        <f t="shared" si="12"/>
        <v>1882.6466499999999</v>
      </c>
      <c r="O26" s="354">
        <f t="shared" si="6"/>
        <v>989.15415625000003</v>
      </c>
      <c r="P26" s="354">
        <f t="shared" si="7"/>
        <v>4928.1487990249998</v>
      </c>
      <c r="Q26" s="359">
        <f t="shared" si="8"/>
        <v>17869.849875</v>
      </c>
      <c r="R26" s="358">
        <f t="shared" si="11"/>
        <v>692.21281625000006</v>
      </c>
    </row>
    <row r="27" spans="1:18" s="233" customFormat="1" ht="28.5" x14ac:dyDescent="0.45">
      <c r="A27" s="725" t="s">
        <v>171</v>
      </c>
      <c r="B27" s="725"/>
      <c r="C27" s="235">
        <v>50</v>
      </c>
      <c r="D27" s="234">
        <v>1665.34</v>
      </c>
      <c r="E27" s="234">
        <v>1665.34</v>
      </c>
      <c r="F27" s="234">
        <f>D27+E27</f>
        <v>3330.68</v>
      </c>
      <c r="G27" s="233">
        <v>278</v>
      </c>
      <c r="H27" s="353">
        <f t="shared" si="0"/>
        <v>2548.9146499999997</v>
      </c>
      <c r="I27" s="233">
        <v>0.75</v>
      </c>
      <c r="J27" s="354">
        <f t="shared" si="1"/>
        <v>16.822836689999999</v>
      </c>
      <c r="K27" s="356">
        <f t="shared" si="14"/>
        <v>382.33719749999995</v>
      </c>
      <c r="L27" s="354">
        <f t="shared" si="3"/>
        <v>2149.7546158099999</v>
      </c>
      <c r="M27" s="354">
        <f t="shared" si="4"/>
        <v>5097.8292999999994</v>
      </c>
      <c r="N27" s="354">
        <f>M27*0.15</f>
        <v>764.67439499999989</v>
      </c>
      <c r="O27" s="354">
        <f t="shared" si="6"/>
        <v>382.33719749999995</v>
      </c>
      <c r="P27" s="354">
        <f t="shared" si="7"/>
        <v>2149.7546158099999</v>
      </c>
      <c r="Q27" s="359">
        <f t="shared" si="8"/>
        <v>7646.7439499999991</v>
      </c>
    </row>
    <row r="28" spans="1:18" s="345" customFormat="1" ht="28.5" x14ac:dyDescent="0.45">
      <c r="A28" s="343"/>
      <c r="B28" s="349"/>
      <c r="C28" s="344"/>
      <c r="D28" s="344"/>
      <c r="E28" s="344"/>
      <c r="F28" s="344"/>
      <c r="G28" s="233"/>
      <c r="H28" s="357">
        <v>0.94</v>
      </c>
      <c r="I28" s="233"/>
      <c r="J28" s="354"/>
      <c r="L28" s="354"/>
      <c r="M28" s="354">
        <f t="shared" si="4"/>
        <v>1.88</v>
      </c>
      <c r="N28" s="354"/>
      <c r="O28" s="354"/>
      <c r="Q28" s="359"/>
    </row>
    <row r="29" spans="1:18" ht="28.5" x14ac:dyDescent="0.45">
      <c r="A29" s="716" t="s">
        <v>28</v>
      </c>
      <c r="B29" s="347" t="s">
        <v>215</v>
      </c>
      <c r="C29" s="283">
        <v>600</v>
      </c>
      <c r="D29" s="238">
        <v>4996.0199999999995</v>
      </c>
      <c r="E29" s="238">
        <v>19984.079999999998</v>
      </c>
      <c r="F29" s="238">
        <f t="shared" ref="F29:F53" si="15">D29+E29</f>
        <v>24980.1</v>
      </c>
      <c r="G29" s="233">
        <v>359</v>
      </c>
      <c r="H29" s="353">
        <f>D29+E29*$H$28*$I29-G29</f>
        <v>18725.796399999999</v>
      </c>
      <c r="I29" s="233">
        <v>0.75</v>
      </c>
      <c r="J29" s="354">
        <f t="shared" si="1"/>
        <v>123.59025623999999</v>
      </c>
      <c r="K29" s="356">
        <f t="shared" ref="K29:K43" si="16">(H29-10000)*0.2+1500</f>
        <v>3245.1592799999999</v>
      </c>
      <c r="L29" s="354">
        <f t="shared" si="3"/>
        <v>15357.046863759999</v>
      </c>
      <c r="M29" s="354">
        <f t="shared" si="4"/>
        <v>37451.592799999999</v>
      </c>
      <c r="N29" s="354">
        <f t="shared" ref="N29:N33" si="17">(M29-25000)*0.27+4500</f>
        <v>7861.9300559999992</v>
      </c>
      <c r="O29" s="354">
        <f t="shared" si="6"/>
        <v>4616.7707759999994</v>
      </c>
      <c r="P29" s="354">
        <f t="shared" si="7"/>
        <v>13985.435367759999</v>
      </c>
      <c r="Q29" s="359">
        <f t="shared" si="8"/>
        <v>56177.389199999998</v>
      </c>
      <c r="R29" s="358">
        <f t="shared" ref="R29:R33" si="18">H29*0.27</f>
        <v>5055.9650280000005</v>
      </c>
    </row>
    <row r="30" spans="1:18" ht="28.5" x14ac:dyDescent="0.45">
      <c r="A30" s="716"/>
      <c r="B30" s="347" t="s">
        <v>214</v>
      </c>
      <c r="C30" s="283">
        <v>600</v>
      </c>
      <c r="D30" s="238">
        <v>4996.0199999999995</v>
      </c>
      <c r="E30" s="238">
        <v>19984.079999999998</v>
      </c>
      <c r="F30" s="238">
        <f t="shared" si="15"/>
        <v>24980.1</v>
      </c>
      <c r="G30" s="233">
        <v>359</v>
      </c>
      <c r="H30" s="353">
        <f t="shared" ref="H30:H53" si="19">D30+E30*$H$28*$I30-G30</f>
        <v>18725.796399999999</v>
      </c>
      <c r="I30" s="233">
        <v>0.75</v>
      </c>
      <c r="J30" s="354">
        <f t="shared" si="1"/>
        <v>123.59025623999999</v>
      </c>
      <c r="K30" s="356">
        <f t="shared" si="16"/>
        <v>3245.1592799999999</v>
      </c>
      <c r="L30" s="354">
        <f t="shared" si="3"/>
        <v>15357.046863759999</v>
      </c>
      <c r="M30" s="354">
        <f t="shared" si="4"/>
        <v>37451.592799999999</v>
      </c>
      <c r="N30" s="354">
        <f t="shared" si="17"/>
        <v>7861.9300559999992</v>
      </c>
      <c r="O30" s="354">
        <f t="shared" si="6"/>
        <v>4616.7707759999994</v>
      </c>
      <c r="P30" s="354">
        <f t="shared" si="7"/>
        <v>13985.435367759999</v>
      </c>
      <c r="Q30" s="359">
        <f t="shared" si="8"/>
        <v>56177.389199999998</v>
      </c>
      <c r="R30" s="358">
        <f t="shared" si="18"/>
        <v>5055.9650280000005</v>
      </c>
    </row>
    <row r="31" spans="1:18" ht="28.5" x14ac:dyDescent="0.45">
      <c r="A31" s="716"/>
      <c r="B31" s="324" t="s">
        <v>220</v>
      </c>
      <c r="C31" s="231">
        <v>600</v>
      </c>
      <c r="D31" s="234">
        <v>4996.0199999999995</v>
      </c>
      <c r="E31" s="234">
        <v>19984.079999999998</v>
      </c>
      <c r="F31" s="234">
        <v>16231.55401011872</v>
      </c>
      <c r="G31" s="233">
        <v>359</v>
      </c>
      <c r="H31" s="353">
        <f t="shared" si="19"/>
        <v>18725.796399999999</v>
      </c>
      <c r="I31" s="233">
        <v>0.75</v>
      </c>
      <c r="J31" s="354">
        <f t="shared" si="1"/>
        <v>123.59025623999999</v>
      </c>
      <c r="K31" s="356">
        <f t="shared" si="16"/>
        <v>3245.1592799999999</v>
      </c>
      <c r="L31" s="354">
        <f t="shared" si="3"/>
        <v>15357.046863759999</v>
      </c>
      <c r="M31" s="354">
        <f t="shared" si="4"/>
        <v>37451.592799999999</v>
      </c>
      <c r="N31" s="354">
        <f t="shared" si="17"/>
        <v>7861.9300559999992</v>
      </c>
      <c r="O31" s="354">
        <f t="shared" si="6"/>
        <v>4616.7707759999994</v>
      </c>
      <c r="P31" s="354">
        <f t="shared" si="7"/>
        <v>13985.435367759999</v>
      </c>
      <c r="Q31" s="359">
        <f t="shared" si="8"/>
        <v>56177.389199999998</v>
      </c>
      <c r="R31" s="358">
        <f t="shared" si="18"/>
        <v>5055.9650280000005</v>
      </c>
    </row>
    <row r="32" spans="1:18" ht="28.5" x14ac:dyDescent="0.45">
      <c r="A32" s="716"/>
      <c r="B32" s="347" t="s">
        <v>32</v>
      </c>
      <c r="C32" s="283">
        <v>450</v>
      </c>
      <c r="D32" s="238">
        <v>4996.0199999999995</v>
      </c>
      <c r="E32" s="238">
        <v>14988.06</v>
      </c>
      <c r="F32" s="238">
        <f t="shared" si="15"/>
        <v>19984.079999999998</v>
      </c>
      <c r="G32" s="233">
        <v>359</v>
      </c>
      <c r="H32" s="353">
        <f t="shared" si="19"/>
        <v>15203.602299999999</v>
      </c>
      <c r="I32" s="233">
        <v>0.75</v>
      </c>
      <c r="J32" s="354">
        <f t="shared" si="1"/>
        <v>100.34377517999999</v>
      </c>
      <c r="K32" s="356">
        <f t="shared" si="16"/>
        <v>2540.7204599999995</v>
      </c>
      <c r="L32" s="354">
        <f t="shared" si="3"/>
        <v>12562.538064819999</v>
      </c>
      <c r="M32" s="354">
        <f t="shared" si="4"/>
        <v>30407.204599999997</v>
      </c>
      <c r="N32" s="354">
        <f t="shared" si="17"/>
        <v>5959.9452419999998</v>
      </c>
      <c r="O32" s="354">
        <f t="shared" si="6"/>
        <v>3419.2247820000002</v>
      </c>
      <c r="P32" s="354">
        <f t="shared" si="7"/>
        <v>11684.033742819998</v>
      </c>
      <c r="Q32" s="359">
        <f t="shared" si="8"/>
        <v>45610.806899999996</v>
      </c>
      <c r="R32" s="358">
        <f t="shared" si="18"/>
        <v>4104.9726209999999</v>
      </c>
    </row>
    <row r="33" spans="1:18" ht="28.5" x14ac:dyDescent="0.45">
      <c r="A33" s="716"/>
      <c r="B33" s="347" t="s">
        <v>237</v>
      </c>
      <c r="C33" s="283">
        <v>450</v>
      </c>
      <c r="D33" s="238">
        <v>4996.0199999999995</v>
      </c>
      <c r="E33" s="238">
        <v>14988.06</v>
      </c>
      <c r="F33" s="238">
        <f t="shared" si="15"/>
        <v>19984.079999999998</v>
      </c>
      <c r="G33" s="233">
        <v>359</v>
      </c>
      <c r="H33" s="353">
        <f t="shared" si="19"/>
        <v>15203.602299999999</v>
      </c>
      <c r="I33" s="233">
        <v>0.75</v>
      </c>
      <c r="J33" s="354">
        <f t="shared" si="1"/>
        <v>100.34377517999999</v>
      </c>
      <c r="K33" s="356">
        <f t="shared" si="16"/>
        <v>2540.7204599999995</v>
      </c>
      <c r="L33" s="354">
        <f t="shared" si="3"/>
        <v>12562.538064819999</v>
      </c>
      <c r="M33" s="354">
        <f t="shared" si="4"/>
        <v>30407.204599999997</v>
      </c>
      <c r="N33" s="354">
        <f t="shared" si="17"/>
        <v>5959.9452419999998</v>
      </c>
      <c r="O33" s="354">
        <f t="shared" si="6"/>
        <v>3419.2247820000002</v>
      </c>
      <c r="P33" s="354">
        <f t="shared" si="7"/>
        <v>11684.033742819998</v>
      </c>
      <c r="Q33" s="359">
        <f t="shared" si="8"/>
        <v>45610.806899999996</v>
      </c>
      <c r="R33" s="358">
        <f t="shared" si="18"/>
        <v>4104.9726209999999</v>
      </c>
    </row>
    <row r="34" spans="1:18" ht="28.5" x14ac:dyDescent="0.45">
      <c r="A34" s="716"/>
      <c r="B34" s="324" t="s">
        <v>234</v>
      </c>
      <c r="C34" s="231">
        <v>300</v>
      </c>
      <c r="D34" s="234">
        <v>4996.0199999999995</v>
      </c>
      <c r="E34" s="234">
        <v>9992.0399999999991</v>
      </c>
      <c r="F34" s="234">
        <f t="shared" si="15"/>
        <v>14988.059999999998</v>
      </c>
      <c r="G34" s="233">
        <v>359</v>
      </c>
      <c r="H34" s="353">
        <f t="shared" si="19"/>
        <v>11681.408199999998</v>
      </c>
      <c r="I34" s="233">
        <v>0.75</v>
      </c>
      <c r="J34" s="354">
        <f t="shared" si="1"/>
        <v>77.097294119999987</v>
      </c>
      <c r="K34" s="356">
        <f t="shared" si="16"/>
        <v>1836.2816399999997</v>
      </c>
      <c r="L34" s="354">
        <f t="shared" si="3"/>
        <v>9768.029265879999</v>
      </c>
      <c r="M34" s="354">
        <f t="shared" si="4"/>
        <v>23362.816399999996</v>
      </c>
      <c r="N34" s="356">
        <f t="shared" ref="N34:N37" si="20">(M34-10000)*0.2+1500</f>
        <v>4172.5632799999994</v>
      </c>
      <c r="O34" s="354">
        <f t="shared" si="6"/>
        <v>2336.2816399999997</v>
      </c>
      <c r="P34" s="354">
        <f t="shared" si="7"/>
        <v>9268.029265879999</v>
      </c>
      <c r="Q34" s="359">
        <f t="shared" si="8"/>
        <v>35044.224599999994</v>
      </c>
      <c r="R34" s="358">
        <f t="shared" ref="R34:R37" si="21">(25000-M34)*0.2+(Q34-25000)*0.27</f>
        <v>3039.3773619999993</v>
      </c>
    </row>
    <row r="35" spans="1:18" ht="28.5" x14ac:dyDescent="0.45">
      <c r="A35" s="716"/>
      <c r="B35" s="324" t="s">
        <v>242</v>
      </c>
      <c r="C35" s="231">
        <v>300</v>
      </c>
      <c r="D35" s="234">
        <v>4996.0199999999995</v>
      </c>
      <c r="E35" s="234">
        <v>9992.0399999999991</v>
      </c>
      <c r="F35" s="234">
        <f t="shared" si="15"/>
        <v>14988.059999999998</v>
      </c>
      <c r="G35" s="233">
        <v>359</v>
      </c>
      <c r="H35" s="353">
        <f t="shared" si="19"/>
        <v>11681.408199999998</v>
      </c>
      <c r="I35" s="233">
        <v>0.75</v>
      </c>
      <c r="J35" s="354">
        <f t="shared" si="1"/>
        <v>77.097294119999987</v>
      </c>
      <c r="K35" s="356">
        <f t="shared" si="16"/>
        <v>1836.2816399999997</v>
      </c>
      <c r="L35" s="354">
        <f t="shared" si="3"/>
        <v>9768.029265879999</v>
      </c>
      <c r="M35" s="354">
        <f t="shared" si="4"/>
        <v>23362.816399999996</v>
      </c>
      <c r="N35" s="356">
        <f t="shared" si="20"/>
        <v>4172.5632799999994</v>
      </c>
      <c r="O35" s="354">
        <f t="shared" si="6"/>
        <v>2336.2816399999997</v>
      </c>
      <c r="P35" s="354">
        <f t="shared" si="7"/>
        <v>9268.029265879999</v>
      </c>
      <c r="Q35" s="359">
        <f t="shared" si="8"/>
        <v>35044.224599999994</v>
      </c>
      <c r="R35" s="358">
        <f t="shared" si="21"/>
        <v>3039.3773619999993</v>
      </c>
    </row>
    <row r="36" spans="1:18" ht="28.5" x14ac:dyDescent="0.45">
      <c r="A36" s="716"/>
      <c r="B36" s="324" t="s">
        <v>235</v>
      </c>
      <c r="C36" s="231">
        <v>300</v>
      </c>
      <c r="D36" s="234">
        <v>4996.0199999999995</v>
      </c>
      <c r="E36" s="234">
        <v>9992.0399999999991</v>
      </c>
      <c r="F36" s="234">
        <f t="shared" si="15"/>
        <v>14988.059999999998</v>
      </c>
      <c r="G36" s="233">
        <v>359</v>
      </c>
      <c r="H36" s="353">
        <f t="shared" si="19"/>
        <v>11681.408199999998</v>
      </c>
      <c r="I36" s="233">
        <v>0.75</v>
      </c>
      <c r="J36" s="354">
        <f t="shared" si="1"/>
        <v>77.097294119999987</v>
      </c>
      <c r="K36" s="356">
        <f t="shared" si="16"/>
        <v>1836.2816399999997</v>
      </c>
      <c r="L36" s="354">
        <f t="shared" si="3"/>
        <v>9768.029265879999</v>
      </c>
      <c r="M36" s="354">
        <f t="shared" si="4"/>
        <v>23362.816399999996</v>
      </c>
      <c r="N36" s="356">
        <f t="shared" si="20"/>
        <v>4172.5632799999994</v>
      </c>
      <c r="O36" s="354">
        <f t="shared" si="6"/>
        <v>2336.2816399999997</v>
      </c>
      <c r="P36" s="354">
        <f t="shared" si="7"/>
        <v>9268.029265879999</v>
      </c>
      <c r="Q36" s="359">
        <f t="shared" si="8"/>
        <v>35044.224599999994</v>
      </c>
      <c r="R36" s="358">
        <f t="shared" si="21"/>
        <v>3039.3773619999993</v>
      </c>
    </row>
    <row r="37" spans="1:18" ht="28.5" x14ac:dyDescent="0.45">
      <c r="A37" s="716"/>
      <c r="B37" s="347" t="s">
        <v>224</v>
      </c>
      <c r="C37" s="283">
        <v>300</v>
      </c>
      <c r="D37" s="238">
        <v>4996.0199999999995</v>
      </c>
      <c r="E37" s="238">
        <v>9992.0399999999991</v>
      </c>
      <c r="F37" s="238">
        <f t="shared" si="15"/>
        <v>14988.059999999998</v>
      </c>
      <c r="G37" s="233">
        <v>359</v>
      </c>
      <c r="H37" s="353">
        <f t="shared" si="19"/>
        <v>11681.408199999998</v>
      </c>
      <c r="I37" s="233">
        <v>0.75</v>
      </c>
      <c r="J37" s="354">
        <f t="shared" si="1"/>
        <v>77.097294119999987</v>
      </c>
      <c r="K37" s="356">
        <f t="shared" si="16"/>
        <v>1836.2816399999997</v>
      </c>
      <c r="L37" s="354">
        <f t="shared" si="3"/>
        <v>9768.029265879999</v>
      </c>
      <c r="M37" s="354">
        <f t="shared" si="4"/>
        <v>23362.816399999996</v>
      </c>
      <c r="N37" s="356">
        <f t="shared" si="20"/>
        <v>4172.5632799999994</v>
      </c>
      <c r="O37" s="354">
        <f t="shared" si="6"/>
        <v>2336.2816399999997</v>
      </c>
      <c r="P37" s="354">
        <f t="shared" si="7"/>
        <v>9268.029265879999</v>
      </c>
      <c r="Q37" s="359">
        <f t="shared" si="8"/>
        <v>35044.224599999994</v>
      </c>
      <c r="R37" s="358">
        <f t="shared" si="21"/>
        <v>3039.3773619999993</v>
      </c>
    </row>
    <row r="38" spans="1:18" ht="28.5" x14ac:dyDescent="0.45">
      <c r="A38" s="716" t="s">
        <v>29</v>
      </c>
      <c r="B38" s="324" t="s">
        <v>221</v>
      </c>
      <c r="C38" s="231">
        <v>600</v>
      </c>
      <c r="D38" s="234">
        <v>4996.0199999999995</v>
      </c>
      <c r="E38" s="234">
        <v>19984.079999999998</v>
      </c>
      <c r="F38" s="234">
        <f t="shared" si="15"/>
        <v>24980.1</v>
      </c>
      <c r="G38" s="233">
        <v>359</v>
      </c>
      <c r="H38" s="353">
        <f t="shared" si="19"/>
        <v>18725.796399999999</v>
      </c>
      <c r="I38" s="233">
        <v>0.75</v>
      </c>
      <c r="J38" s="354">
        <f t="shared" si="1"/>
        <v>123.59025623999999</v>
      </c>
      <c r="K38" s="356">
        <f t="shared" si="16"/>
        <v>3245.1592799999999</v>
      </c>
      <c r="L38" s="354">
        <f t="shared" si="3"/>
        <v>15357.046863759999</v>
      </c>
      <c r="M38" s="354">
        <f t="shared" si="4"/>
        <v>37451.592799999999</v>
      </c>
      <c r="N38" s="354">
        <f t="shared" ref="N38:N43" si="22">(M38-25000)*0.27+4500</f>
        <v>7861.9300559999992</v>
      </c>
      <c r="O38" s="354">
        <f t="shared" si="6"/>
        <v>4616.7707759999994</v>
      </c>
      <c r="P38" s="354">
        <f t="shared" si="7"/>
        <v>13985.435367759999</v>
      </c>
      <c r="Q38" s="359">
        <f t="shared" si="8"/>
        <v>56177.389199999998</v>
      </c>
      <c r="R38" s="358">
        <f t="shared" ref="R38:R43" si="23">H38*0.27</f>
        <v>5055.9650280000005</v>
      </c>
    </row>
    <row r="39" spans="1:18" ht="28.5" x14ac:dyDescent="0.45">
      <c r="A39" s="716"/>
      <c r="B39" s="324" t="s">
        <v>222</v>
      </c>
      <c r="C39" s="231">
        <v>600</v>
      </c>
      <c r="D39" s="234">
        <v>4996.0199999999995</v>
      </c>
      <c r="E39" s="234">
        <v>19984.079999999998</v>
      </c>
      <c r="F39" s="234">
        <f t="shared" si="15"/>
        <v>24980.1</v>
      </c>
      <c r="G39" s="233">
        <v>359</v>
      </c>
      <c r="H39" s="353">
        <f t="shared" si="19"/>
        <v>18725.796399999999</v>
      </c>
      <c r="I39" s="233">
        <v>0.75</v>
      </c>
      <c r="J39" s="354">
        <f t="shared" si="1"/>
        <v>123.59025623999999</v>
      </c>
      <c r="K39" s="356">
        <f t="shared" si="16"/>
        <v>3245.1592799999999</v>
      </c>
      <c r="L39" s="354">
        <f t="shared" si="3"/>
        <v>15357.046863759999</v>
      </c>
      <c r="M39" s="354">
        <f t="shared" si="4"/>
        <v>37451.592799999999</v>
      </c>
      <c r="N39" s="354">
        <f t="shared" si="22"/>
        <v>7861.9300559999992</v>
      </c>
      <c r="O39" s="354">
        <f t="shared" si="6"/>
        <v>4616.7707759999994</v>
      </c>
      <c r="P39" s="354">
        <f t="shared" si="7"/>
        <v>13985.435367759999</v>
      </c>
      <c r="Q39" s="359">
        <f t="shared" si="8"/>
        <v>56177.389199999998</v>
      </c>
      <c r="R39" s="358">
        <f t="shared" si="23"/>
        <v>5055.9650280000005</v>
      </c>
    </row>
    <row r="40" spans="1:18" ht="28.5" x14ac:dyDescent="0.45">
      <c r="A40" s="716"/>
      <c r="B40" s="347" t="s">
        <v>32</v>
      </c>
      <c r="C40" s="283">
        <v>450</v>
      </c>
      <c r="D40" s="238">
        <v>4996.0199999999995</v>
      </c>
      <c r="E40" s="238">
        <v>14988.06</v>
      </c>
      <c r="F40" s="238">
        <f t="shared" si="15"/>
        <v>19984.079999999998</v>
      </c>
      <c r="G40" s="233">
        <v>359</v>
      </c>
      <c r="H40" s="353">
        <f t="shared" si="19"/>
        <v>15203.602299999999</v>
      </c>
      <c r="I40" s="233">
        <v>0.75</v>
      </c>
      <c r="J40" s="354">
        <f t="shared" si="1"/>
        <v>100.34377517999999</v>
      </c>
      <c r="K40" s="356">
        <f t="shared" si="16"/>
        <v>2540.7204599999995</v>
      </c>
      <c r="L40" s="354">
        <f t="shared" si="3"/>
        <v>12562.538064819999</v>
      </c>
      <c r="M40" s="354">
        <f t="shared" si="4"/>
        <v>30407.204599999997</v>
      </c>
      <c r="N40" s="354">
        <f t="shared" si="22"/>
        <v>5959.9452419999998</v>
      </c>
      <c r="O40" s="354">
        <f t="shared" si="6"/>
        <v>3419.2247820000002</v>
      </c>
      <c r="P40" s="354">
        <f t="shared" si="7"/>
        <v>11684.033742819998</v>
      </c>
      <c r="Q40" s="359">
        <f t="shared" si="8"/>
        <v>45610.806899999996</v>
      </c>
      <c r="R40" s="358">
        <f t="shared" si="23"/>
        <v>4104.9726209999999</v>
      </c>
    </row>
    <row r="41" spans="1:18" ht="28.5" x14ac:dyDescent="0.45">
      <c r="A41" s="716"/>
      <c r="B41" s="347" t="s">
        <v>237</v>
      </c>
      <c r="C41" s="283">
        <v>450</v>
      </c>
      <c r="D41" s="238">
        <v>4996.0199999999995</v>
      </c>
      <c r="E41" s="238">
        <v>14988.06</v>
      </c>
      <c r="F41" s="238">
        <f t="shared" si="15"/>
        <v>19984.079999999998</v>
      </c>
      <c r="G41" s="233">
        <v>359</v>
      </c>
      <c r="H41" s="353">
        <f t="shared" si="19"/>
        <v>15203.602299999999</v>
      </c>
      <c r="I41" s="233">
        <v>0.75</v>
      </c>
      <c r="J41" s="354">
        <f t="shared" si="1"/>
        <v>100.34377517999999</v>
      </c>
      <c r="K41" s="356">
        <f t="shared" si="16"/>
        <v>2540.7204599999995</v>
      </c>
      <c r="L41" s="354">
        <f t="shared" si="3"/>
        <v>12562.538064819999</v>
      </c>
      <c r="M41" s="354">
        <f t="shared" si="4"/>
        <v>30407.204599999997</v>
      </c>
      <c r="N41" s="354">
        <f t="shared" si="22"/>
        <v>5959.9452419999998</v>
      </c>
      <c r="O41" s="354">
        <f t="shared" si="6"/>
        <v>3419.2247820000002</v>
      </c>
      <c r="P41" s="354">
        <f t="shared" si="7"/>
        <v>11684.033742819998</v>
      </c>
      <c r="Q41" s="359">
        <f t="shared" si="8"/>
        <v>45610.806899999996</v>
      </c>
      <c r="R41" s="358">
        <f t="shared" si="23"/>
        <v>4104.9726209999999</v>
      </c>
    </row>
    <row r="42" spans="1:18" ht="28.5" x14ac:dyDescent="0.45">
      <c r="A42" s="716"/>
      <c r="B42" s="347" t="s">
        <v>225</v>
      </c>
      <c r="C42" s="283">
        <v>450</v>
      </c>
      <c r="D42" s="238">
        <v>4996.0199999999995</v>
      </c>
      <c r="E42" s="238">
        <v>14988.06</v>
      </c>
      <c r="F42" s="238">
        <f t="shared" si="15"/>
        <v>19984.079999999998</v>
      </c>
      <c r="G42" s="233">
        <v>359</v>
      </c>
      <c r="H42" s="353">
        <f t="shared" si="19"/>
        <v>15203.602299999999</v>
      </c>
      <c r="I42" s="233">
        <v>0.75</v>
      </c>
      <c r="J42" s="354">
        <f t="shared" si="1"/>
        <v>100.34377517999999</v>
      </c>
      <c r="K42" s="356">
        <f t="shared" si="16"/>
        <v>2540.7204599999995</v>
      </c>
      <c r="L42" s="354">
        <f t="shared" si="3"/>
        <v>12562.538064819999</v>
      </c>
      <c r="M42" s="354">
        <f t="shared" si="4"/>
        <v>30407.204599999997</v>
      </c>
      <c r="N42" s="354">
        <f t="shared" si="22"/>
        <v>5959.9452419999998</v>
      </c>
      <c r="O42" s="354">
        <f t="shared" si="6"/>
        <v>3419.2247820000002</v>
      </c>
      <c r="P42" s="354">
        <f t="shared" si="7"/>
        <v>11684.033742819998</v>
      </c>
      <c r="Q42" s="359">
        <f t="shared" si="8"/>
        <v>45610.806899999996</v>
      </c>
      <c r="R42" s="358">
        <f t="shared" si="23"/>
        <v>4104.9726209999999</v>
      </c>
    </row>
    <row r="43" spans="1:18" ht="28.5" x14ac:dyDescent="0.45">
      <c r="A43" s="716"/>
      <c r="B43" s="347" t="s">
        <v>243</v>
      </c>
      <c r="C43" s="283">
        <v>450</v>
      </c>
      <c r="D43" s="238">
        <v>4996.0199999999995</v>
      </c>
      <c r="E43" s="238">
        <v>14988.06</v>
      </c>
      <c r="F43" s="238">
        <f t="shared" si="15"/>
        <v>19984.079999999998</v>
      </c>
      <c r="G43" s="233">
        <v>359</v>
      </c>
      <c r="H43" s="353">
        <f t="shared" si="19"/>
        <v>15203.602299999999</v>
      </c>
      <c r="I43" s="233">
        <v>0.75</v>
      </c>
      <c r="J43" s="354">
        <f t="shared" si="1"/>
        <v>100.34377517999999</v>
      </c>
      <c r="K43" s="356">
        <f t="shared" si="16"/>
        <v>2540.7204599999995</v>
      </c>
      <c r="L43" s="354">
        <f t="shared" si="3"/>
        <v>12562.538064819999</v>
      </c>
      <c r="M43" s="354">
        <f t="shared" si="4"/>
        <v>30407.204599999997</v>
      </c>
      <c r="N43" s="354">
        <f t="shared" si="22"/>
        <v>5959.9452419999998</v>
      </c>
      <c r="O43" s="354">
        <f t="shared" si="6"/>
        <v>3419.2247820000002</v>
      </c>
      <c r="P43" s="354">
        <f t="shared" si="7"/>
        <v>11684.033742819998</v>
      </c>
      <c r="Q43" s="359">
        <f t="shared" si="8"/>
        <v>45610.806899999996</v>
      </c>
      <c r="R43" s="358">
        <f t="shared" si="23"/>
        <v>4104.9726209999999</v>
      </c>
    </row>
    <row r="44" spans="1:18" ht="28.5" x14ac:dyDescent="0.45">
      <c r="A44" s="716"/>
      <c r="B44" s="324" t="s">
        <v>226</v>
      </c>
      <c r="C44" s="231">
        <v>200</v>
      </c>
      <c r="D44" s="234">
        <v>4996.0199999999995</v>
      </c>
      <c r="E44" s="234">
        <v>6661.36</v>
      </c>
      <c r="F44" s="234">
        <f t="shared" si="15"/>
        <v>11657.38</v>
      </c>
      <c r="G44" s="233">
        <v>359</v>
      </c>
      <c r="H44" s="353">
        <f t="shared" si="19"/>
        <v>9333.2788</v>
      </c>
      <c r="I44" s="233">
        <v>0.75</v>
      </c>
      <c r="J44" s="354">
        <f t="shared" si="1"/>
        <v>61.59964008</v>
      </c>
      <c r="K44" s="356">
        <f>H44*0.15</f>
        <v>1399.99182</v>
      </c>
      <c r="L44" s="354">
        <f t="shared" si="3"/>
        <v>7871.6873399199994</v>
      </c>
      <c r="M44" s="354">
        <f t="shared" si="4"/>
        <v>18666.5576</v>
      </c>
      <c r="N44" s="356">
        <f t="shared" ref="N44:N52" si="24">(M44-10000)*0.2+1500</f>
        <v>3233.3115200000002</v>
      </c>
      <c r="O44" s="354">
        <f t="shared" si="6"/>
        <v>1833.3197000000002</v>
      </c>
      <c r="P44" s="354">
        <f t="shared" si="7"/>
        <v>7438.3594599199996</v>
      </c>
      <c r="Q44" s="359">
        <f t="shared" si="8"/>
        <v>27999.8364</v>
      </c>
      <c r="R44" s="358">
        <f>(Q44-25000)*0.27+4500</f>
        <v>5309.9558280000001</v>
      </c>
    </row>
    <row r="45" spans="1:18" ht="28.5" x14ac:dyDescent="0.45">
      <c r="A45" s="716"/>
      <c r="B45" s="324" t="s">
        <v>227</v>
      </c>
      <c r="C45" s="231">
        <v>200</v>
      </c>
      <c r="D45" s="234">
        <v>4996.0199999999995</v>
      </c>
      <c r="E45" s="234">
        <v>6661.36</v>
      </c>
      <c r="F45" s="234">
        <f t="shared" si="15"/>
        <v>11657.38</v>
      </c>
      <c r="G45" s="233">
        <v>359</v>
      </c>
      <c r="H45" s="353">
        <f t="shared" si="19"/>
        <v>9333.2788</v>
      </c>
      <c r="I45" s="233">
        <v>0.75</v>
      </c>
      <c r="J45" s="354">
        <f t="shared" si="1"/>
        <v>61.59964008</v>
      </c>
      <c r="K45" s="356">
        <f>H45*0.15</f>
        <v>1399.99182</v>
      </c>
      <c r="L45" s="354">
        <f t="shared" si="3"/>
        <v>7871.6873399199994</v>
      </c>
      <c r="M45" s="354">
        <f t="shared" si="4"/>
        <v>18666.5576</v>
      </c>
      <c r="N45" s="356">
        <f t="shared" si="24"/>
        <v>3233.3115200000002</v>
      </c>
      <c r="O45" s="354">
        <f t="shared" si="6"/>
        <v>1833.3197000000002</v>
      </c>
      <c r="P45" s="354">
        <f t="shared" si="7"/>
        <v>7438.3594599199996</v>
      </c>
      <c r="Q45" s="359">
        <f t="shared" si="8"/>
        <v>27999.8364</v>
      </c>
      <c r="R45" s="358">
        <f t="shared" ref="R45:R51" si="25">(Q45-25000)*0.27+4500</f>
        <v>5309.9558280000001</v>
      </c>
    </row>
    <row r="46" spans="1:18" ht="28.5" x14ac:dyDescent="0.45">
      <c r="A46" s="717" t="s">
        <v>31</v>
      </c>
      <c r="B46" s="350" t="s">
        <v>32</v>
      </c>
      <c r="C46" s="290">
        <v>270</v>
      </c>
      <c r="D46" s="238">
        <v>4996.0199999999995</v>
      </c>
      <c r="E46" s="238">
        <v>8992.8359999999993</v>
      </c>
      <c r="F46" s="238">
        <f t="shared" si="15"/>
        <v>13988.856</v>
      </c>
      <c r="G46" s="233">
        <v>359</v>
      </c>
      <c r="H46" s="353">
        <f t="shared" si="19"/>
        <v>10976.969379999999</v>
      </c>
      <c r="I46" s="233">
        <v>0.75</v>
      </c>
      <c r="J46" s="354">
        <f t="shared" si="1"/>
        <v>72.447997907999991</v>
      </c>
      <c r="K46" s="356">
        <f t="shared" ref="K46:K47" si="26">(H46-10000)*0.2+1500</f>
        <v>1695.3938759999996</v>
      </c>
      <c r="L46" s="354">
        <f t="shared" si="3"/>
        <v>9209.1275060919979</v>
      </c>
      <c r="M46" s="354">
        <f t="shared" si="4"/>
        <v>21953.938759999997</v>
      </c>
      <c r="N46" s="356">
        <f t="shared" si="24"/>
        <v>3890.7877519999997</v>
      </c>
      <c r="O46" s="354">
        <f t="shared" si="6"/>
        <v>2195.3938760000001</v>
      </c>
      <c r="P46" s="354">
        <f t="shared" si="7"/>
        <v>8709.1275060919979</v>
      </c>
      <c r="Q46" s="359">
        <f t="shared" si="8"/>
        <v>32930.90814</v>
      </c>
      <c r="R46" s="358">
        <f t="shared" si="25"/>
        <v>6641.3451977999994</v>
      </c>
    </row>
    <row r="47" spans="1:18" ht="28.5" x14ac:dyDescent="0.45">
      <c r="A47" s="718"/>
      <c r="B47" s="350" t="s">
        <v>225</v>
      </c>
      <c r="C47" s="290">
        <v>270</v>
      </c>
      <c r="D47" s="238">
        <v>4996.0199999999995</v>
      </c>
      <c r="E47" s="238">
        <v>8992.8359999999993</v>
      </c>
      <c r="F47" s="238">
        <f t="shared" si="15"/>
        <v>13988.856</v>
      </c>
      <c r="G47" s="233">
        <v>359</v>
      </c>
      <c r="H47" s="353">
        <f t="shared" si="19"/>
        <v>10976.969379999999</v>
      </c>
      <c r="I47" s="233">
        <v>0.75</v>
      </c>
      <c r="J47" s="354">
        <f t="shared" si="1"/>
        <v>72.447997907999991</v>
      </c>
      <c r="K47" s="356">
        <f t="shared" si="26"/>
        <v>1695.3938759999996</v>
      </c>
      <c r="L47" s="354">
        <f t="shared" si="3"/>
        <v>9209.1275060919979</v>
      </c>
      <c r="M47" s="354">
        <f t="shared" si="4"/>
        <v>21953.938759999997</v>
      </c>
      <c r="N47" s="356">
        <f t="shared" si="24"/>
        <v>3890.7877519999997</v>
      </c>
      <c r="O47" s="354">
        <f t="shared" si="6"/>
        <v>2195.3938760000001</v>
      </c>
      <c r="P47" s="354">
        <f t="shared" si="7"/>
        <v>8709.1275060919979</v>
      </c>
      <c r="Q47" s="359">
        <f t="shared" si="8"/>
        <v>32930.90814</v>
      </c>
      <c r="R47" s="358">
        <f t="shared" si="25"/>
        <v>6641.3451977999994</v>
      </c>
    </row>
    <row r="48" spans="1:18" ht="28.5" x14ac:dyDescent="0.45">
      <c r="A48" s="718"/>
      <c r="B48" s="351" t="s">
        <v>226</v>
      </c>
      <c r="C48" s="240">
        <v>180</v>
      </c>
      <c r="D48" s="234">
        <v>4996.0199999999995</v>
      </c>
      <c r="E48" s="234">
        <v>5995.2240000000002</v>
      </c>
      <c r="F48" s="234">
        <f t="shared" si="15"/>
        <v>10991.243999999999</v>
      </c>
      <c r="G48" s="233">
        <v>359</v>
      </c>
      <c r="H48" s="353">
        <f t="shared" si="19"/>
        <v>8863.6529200000004</v>
      </c>
      <c r="I48" s="233">
        <v>0.75</v>
      </c>
      <c r="J48" s="354">
        <f t="shared" si="1"/>
        <v>58.500109272000003</v>
      </c>
      <c r="K48" s="356">
        <f t="shared" ref="K48:K53" si="27">H48*0.15</f>
        <v>1329.5479379999999</v>
      </c>
      <c r="L48" s="354">
        <f t="shared" si="3"/>
        <v>7475.6048727280004</v>
      </c>
      <c r="M48" s="354">
        <f t="shared" si="4"/>
        <v>17727.305840000001</v>
      </c>
      <c r="N48" s="356">
        <f t="shared" si="24"/>
        <v>3045.4611680000003</v>
      </c>
      <c r="O48" s="354">
        <f t="shared" si="6"/>
        <v>1715.9132300000003</v>
      </c>
      <c r="P48" s="354">
        <f t="shared" si="7"/>
        <v>7089.239580728</v>
      </c>
      <c r="Q48" s="359">
        <f t="shared" si="8"/>
        <v>26590.958760000001</v>
      </c>
      <c r="R48" s="358">
        <f t="shared" si="25"/>
        <v>4929.5588652000006</v>
      </c>
    </row>
    <row r="49" spans="1:18" ht="28.5" x14ac:dyDescent="0.45">
      <c r="A49" s="718"/>
      <c r="B49" s="351" t="s">
        <v>227</v>
      </c>
      <c r="C49" s="240">
        <v>180</v>
      </c>
      <c r="D49" s="234">
        <v>4996.0199999999995</v>
      </c>
      <c r="E49" s="234">
        <v>5995.2240000000002</v>
      </c>
      <c r="F49" s="234">
        <f t="shared" si="15"/>
        <v>10991.243999999999</v>
      </c>
      <c r="G49" s="233">
        <v>359</v>
      </c>
      <c r="H49" s="353">
        <f t="shared" si="19"/>
        <v>8863.6529200000004</v>
      </c>
      <c r="I49" s="233">
        <v>0.75</v>
      </c>
      <c r="J49" s="354">
        <f t="shared" si="1"/>
        <v>58.500109272000003</v>
      </c>
      <c r="K49" s="356">
        <f t="shared" si="27"/>
        <v>1329.5479379999999</v>
      </c>
      <c r="L49" s="354">
        <f t="shared" si="3"/>
        <v>7475.6048727280004</v>
      </c>
      <c r="M49" s="354">
        <f t="shared" si="4"/>
        <v>17727.305840000001</v>
      </c>
      <c r="N49" s="356">
        <f t="shared" si="24"/>
        <v>3045.4611680000003</v>
      </c>
      <c r="O49" s="354">
        <f t="shared" si="6"/>
        <v>1715.9132300000003</v>
      </c>
      <c r="P49" s="354">
        <f t="shared" si="7"/>
        <v>7089.239580728</v>
      </c>
      <c r="Q49" s="359">
        <f t="shared" si="8"/>
        <v>26590.958760000001</v>
      </c>
      <c r="R49" s="358">
        <f t="shared" si="25"/>
        <v>4929.5588652000006</v>
      </c>
    </row>
    <row r="50" spans="1:18" ht="28.5" x14ac:dyDescent="0.45">
      <c r="A50" s="718"/>
      <c r="B50" s="351" t="s">
        <v>228</v>
      </c>
      <c r="C50" s="240">
        <v>180</v>
      </c>
      <c r="D50" s="234">
        <v>4996.0199999999995</v>
      </c>
      <c r="E50" s="234">
        <v>5995.2240000000002</v>
      </c>
      <c r="F50" s="234">
        <f t="shared" si="15"/>
        <v>10991.243999999999</v>
      </c>
      <c r="G50" s="233">
        <v>359</v>
      </c>
      <c r="H50" s="353">
        <f t="shared" si="19"/>
        <v>8863.6529200000004</v>
      </c>
      <c r="I50" s="233">
        <v>0.75</v>
      </c>
      <c r="J50" s="354">
        <f t="shared" si="1"/>
        <v>58.500109272000003</v>
      </c>
      <c r="K50" s="356">
        <f t="shared" si="27"/>
        <v>1329.5479379999999</v>
      </c>
      <c r="L50" s="354">
        <f t="shared" si="3"/>
        <v>7475.6048727280004</v>
      </c>
      <c r="M50" s="354">
        <f t="shared" si="4"/>
        <v>17727.305840000001</v>
      </c>
      <c r="N50" s="356">
        <f t="shared" si="24"/>
        <v>3045.4611680000003</v>
      </c>
      <c r="O50" s="354">
        <f t="shared" si="6"/>
        <v>1715.9132300000003</v>
      </c>
      <c r="P50" s="354">
        <f t="shared" si="7"/>
        <v>7089.239580728</v>
      </c>
      <c r="Q50" s="359">
        <f t="shared" si="8"/>
        <v>26590.958760000001</v>
      </c>
      <c r="R50" s="358">
        <f t="shared" si="25"/>
        <v>4929.5588652000006</v>
      </c>
    </row>
    <row r="51" spans="1:18" ht="28.5" x14ac:dyDescent="0.45">
      <c r="A51" s="719"/>
      <c r="B51" s="350" t="s">
        <v>199</v>
      </c>
      <c r="C51" s="290">
        <v>125</v>
      </c>
      <c r="D51" s="238">
        <v>4996.0199999999995</v>
      </c>
      <c r="E51" s="238">
        <v>5995.2240000000002</v>
      </c>
      <c r="F51" s="238">
        <f t="shared" si="15"/>
        <v>10991.243999999999</v>
      </c>
      <c r="G51" s="233">
        <v>359</v>
      </c>
      <c r="H51" s="353">
        <f t="shared" si="19"/>
        <v>8863.6529200000004</v>
      </c>
      <c r="I51" s="233">
        <v>0.75</v>
      </c>
      <c r="J51" s="354">
        <f t="shared" si="1"/>
        <v>58.500109272000003</v>
      </c>
      <c r="K51" s="356">
        <f t="shared" si="27"/>
        <v>1329.5479379999999</v>
      </c>
      <c r="L51" s="354">
        <f t="shared" si="3"/>
        <v>7475.6048727280004</v>
      </c>
      <c r="M51" s="354">
        <f t="shared" si="4"/>
        <v>17727.305840000001</v>
      </c>
      <c r="N51" s="356">
        <f t="shared" si="24"/>
        <v>3045.4611680000003</v>
      </c>
      <c r="O51" s="354">
        <f t="shared" si="6"/>
        <v>1715.9132300000003</v>
      </c>
      <c r="P51" s="354">
        <f t="shared" si="7"/>
        <v>7089.239580728</v>
      </c>
      <c r="Q51" s="359">
        <f t="shared" si="8"/>
        <v>26590.958760000001</v>
      </c>
      <c r="R51" s="358">
        <f t="shared" si="25"/>
        <v>4929.5588652000006</v>
      </c>
    </row>
    <row r="52" spans="1:18" ht="28.5" x14ac:dyDescent="0.45">
      <c r="A52" s="714" t="s">
        <v>173</v>
      </c>
      <c r="B52" s="715"/>
      <c r="C52" s="241">
        <v>125</v>
      </c>
      <c r="D52" s="234">
        <v>3330.68</v>
      </c>
      <c r="E52" s="234">
        <v>4163.3499999999995</v>
      </c>
      <c r="F52" s="234">
        <f t="shared" si="15"/>
        <v>7494.0299999999988</v>
      </c>
      <c r="G52" s="233">
        <v>278</v>
      </c>
      <c r="H52" s="353">
        <f t="shared" si="19"/>
        <v>5987.8417499999996</v>
      </c>
      <c r="I52" s="233">
        <v>0.75</v>
      </c>
      <c r="J52" s="354">
        <f t="shared" si="1"/>
        <v>39.519755549999999</v>
      </c>
      <c r="K52" s="356">
        <f t="shared" si="27"/>
        <v>898.17626249999989</v>
      </c>
      <c r="L52" s="354">
        <f t="shared" si="3"/>
        <v>5050.1457319499996</v>
      </c>
      <c r="M52" s="354">
        <f t="shared" si="4"/>
        <v>11975.683499999999</v>
      </c>
      <c r="N52" s="356">
        <f t="shared" si="24"/>
        <v>1895.1366999999998</v>
      </c>
      <c r="O52" s="354">
        <f t="shared" si="6"/>
        <v>996.9604374999999</v>
      </c>
      <c r="P52" s="354">
        <f t="shared" si="7"/>
        <v>4951.3615569499998</v>
      </c>
      <c r="Q52" s="359">
        <f t="shared" si="8"/>
        <v>17963.525249999999</v>
      </c>
      <c r="R52" s="358">
        <f>(Q52-10000)*0.2+1500-O52-K52</f>
        <v>1197.5683499999998</v>
      </c>
    </row>
    <row r="53" spans="1:18" ht="29.25" thickBot="1" x14ac:dyDescent="0.5">
      <c r="A53" s="734" t="s">
        <v>174</v>
      </c>
      <c r="B53" s="735"/>
      <c r="C53" s="305">
        <v>75</v>
      </c>
      <c r="D53" s="306">
        <v>2498.0099999999998</v>
      </c>
      <c r="E53" s="306">
        <v>1665.34</v>
      </c>
      <c r="F53" s="306">
        <f t="shared" si="15"/>
        <v>4163.3499999999995</v>
      </c>
      <c r="G53" s="233">
        <v>278</v>
      </c>
      <c r="H53" s="353">
        <f t="shared" si="19"/>
        <v>3394.0746999999997</v>
      </c>
      <c r="I53" s="233">
        <v>0.75</v>
      </c>
      <c r="J53" s="354">
        <f t="shared" si="1"/>
        <v>22.400893019999998</v>
      </c>
      <c r="K53" s="356">
        <f t="shared" si="27"/>
        <v>509.11120499999993</v>
      </c>
      <c r="L53" s="354">
        <f t="shared" si="3"/>
        <v>2862.5626019800002</v>
      </c>
      <c r="M53" s="354">
        <f t="shared" si="4"/>
        <v>6788.1493999999993</v>
      </c>
      <c r="N53" s="354">
        <f>M53*0.15</f>
        <v>1018.2224099999999</v>
      </c>
      <c r="O53" s="354">
        <f t="shared" si="6"/>
        <v>509.11120499999993</v>
      </c>
      <c r="P53" s="354">
        <f t="shared" si="7"/>
        <v>2862.5626019800002</v>
      </c>
      <c r="Q53" s="359">
        <f t="shared" si="8"/>
        <v>10182.224099999999</v>
      </c>
      <c r="R53" s="358">
        <f>(Q53-10000)*0.2+1500-O53-K53</f>
        <v>518.22241000000008</v>
      </c>
    </row>
  </sheetData>
  <mergeCells count="11">
    <mergeCell ref="A52:B52"/>
    <mergeCell ref="A53:B53"/>
    <mergeCell ref="A29:A37"/>
    <mergeCell ref="A38:A45"/>
    <mergeCell ref="A46:A51"/>
    <mergeCell ref="A27:B27"/>
    <mergeCell ref="A1:F1"/>
    <mergeCell ref="A4:B4"/>
    <mergeCell ref="A6:A14"/>
    <mergeCell ref="A15:A23"/>
    <mergeCell ref="A24:A2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"/>
  <sheetViews>
    <sheetView zoomScale="50" zoomScaleNormal="50" workbookViewId="0">
      <selection activeCell="H28" sqref="H28"/>
    </sheetView>
  </sheetViews>
  <sheetFormatPr defaultRowHeight="21" x14ac:dyDescent="0.35"/>
  <cols>
    <col min="1" max="1" width="21.5703125" style="202" customWidth="1"/>
    <col min="2" max="2" width="77.7109375" style="130" customWidth="1"/>
    <col min="3" max="3" width="16.28515625" customWidth="1"/>
    <col min="4" max="6" width="20.5703125" customWidth="1"/>
    <col min="7" max="7" width="15.140625" customWidth="1"/>
    <col min="8" max="8" width="16.42578125" customWidth="1"/>
    <col min="9" max="9" width="13.5703125" customWidth="1"/>
    <col min="10" max="10" width="24.42578125" customWidth="1"/>
    <col min="11" max="11" width="22.85546875" customWidth="1"/>
    <col min="12" max="12" width="13.28515625" style="130" customWidth="1"/>
    <col min="13" max="13" width="16.140625" style="130" hidden="1" customWidth="1"/>
    <col min="14" max="14" width="14.140625" style="130" bestFit="1" customWidth="1"/>
    <col min="15" max="16" width="16.140625" style="130" hidden="1" customWidth="1"/>
    <col min="17" max="17" width="14.140625" style="130" bestFit="1" customWidth="1"/>
    <col min="18" max="19" width="16.140625" style="130" hidden="1" customWidth="1"/>
    <col min="20" max="20" width="14.140625" style="130" bestFit="1" customWidth="1"/>
    <col min="21" max="22" width="16.140625" style="130" hidden="1" customWidth="1"/>
    <col min="23" max="23" width="14.140625" style="130" bestFit="1" customWidth="1"/>
    <col min="24" max="25" width="16.140625" style="130" hidden="1" customWidth="1"/>
    <col min="26" max="26" width="14.140625" style="130" bestFit="1" customWidth="1"/>
    <col min="27" max="27" width="16.140625" style="130" hidden="1" customWidth="1"/>
    <col min="28" max="28" width="17.7109375" style="130" hidden="1" customWidth="1"/>
    <col min="29" max="29" width="14.140625" style="130" bestFit="1" customWidth="1"/>
    <col min="30" max="30" width="16.140625" style="130" hidden="1" customWidth="1"/>
    <col min="31" max="31" width="17.7109375" style="130" hidden="1" customWidth="1"/>
    <col min="32" max="32" width="14.140625" style="130" bestFit="1" customWidth="1"/>
    <col min="33" max="33" width="16.140625" style="130" hidden="1" customWidth="1"/>
    <col min="34" max="34" width="17.7109375" style="130" hidden="1" customWidth="1"/>
    <col min="35" max="35" width="18.7109375" style="130" customWidth="1"/>
    <col min="36" max="36" width="16.140625" style="130" hidden="1" customWidth="1"/>
    <col min="37" max="37" width="17.7109375" style="130" hidden="1" customWidth="1"/>
    <col min="38" max="38" width="14.140625" style="130" bestFit="1" customWidth="1"/>
    <col min="39" max="39" width="16.140625" style="130" hidden="1" customWidth="1"/>
    <col min="40" max="40" width="17.7109375" style="130" hidden="1" customWidth="1"/>
    <col min="41" max="41" width="14.140625" style="130" bestFit="1" customWidth="1"/>
    <col min="42" max="42" width="16.140625" style="130" hidden="1" customWidth="1"/>
    <col min="43" max="43" width="17.7109375" style="130" hidden="1" customWidth="1"/>
    <col min="44" max="44" width="14.140625" style="130" customWidth="1"/>
    <col min="45" max="45" width="16.140625" style="130" hidden="1" customWidth="1"/>
    <col min="46" max="46" width="17.7109375" style="130" hidden="1" customWidth="1"/>
    <col min="47" max="47" width="14.140625" style="130" bestFit="1" customWidth="1"/>
    <col min="48" max="48" width="16.140625" style="130" hidden="1" customWidth="1"/>
  </cols>
  <sheetData>
    <row r="1" spans="1:49" ht="28.5" customHeight="1" x14ac:dyDescent="0.35">
      <c r="A1" s="660" t="s">
        <v>196</v>
      </c>
      <c r="B1" s="660"/>
      <c r="C1" s="660"/>
      <c r="D1" s="660"/>
      <c r="E1" s="660"/>
      <c r="F1" s="660"/>
    </row>
    <row r="2" spans="1:49" x14ac:dyDescent="0.35">
      <c r="A2" s="192"/>
      <c r="B2" s="2"/>
      <c r="C2" s="2"/>
      <c r="D2" s="2"/>
      <c r="E2" s="2"/>
      <c r="F2" s="2"/>
    </row>
    <row r="3" spans="1:49" ht="27" thickBot="1" x14ac:dyDescent="0.4">
      <c r="A3" s="236" t="s">
        <v>1</v>
      </c>
      <c r="B3" s="4"/>
      <c r="C3" s="4"/>
      <c r="D3" s="4"/>
      <c r="E3" s="4"/>
      <c r="F3" s="4"/>
    </row>
    <row r="4" spans="1:49" ht="65.25" customHeight="1" x14ac:dyDescent="0.25">
      <c r="A4" s="726" t="s">
        <v>2</v>
      </c>
      <c r="B4" s="726"/>
      <c r="C4" s="369" t="s">
        <v>3</v>
      </c>
      <c r="D4" s="369" t="s">
        <v>229</v>
      </c>
      <c r="E4" s="369" t="s">
        <v>253</v>
      </c>
      <c r="F4" s="369" t="s">
        <v>231</v>
      </c>
      <c r="G4" s="352" t="s">
        <v>244</v>
      </c>
      <c r="H4" s="352" t="s">
        <v>249</v>
      </c>
      <c r="I4" s="352" t="s">
        <v>37</v>
      </c>
      <c r="J4" s="364" t="s">
        <v>279</v>
      </c>
      <c r="K4" s="360" t="s">
        <v>280</v>
      </c>
      <c r="L4" s="365" t="s">
        <v>245</v>
      </c>
      <c r="M4" s="365">
        <v>1</v>
      </c>
      <c r="N4" s="365" t="s">
        <v>255</v>
      </c>
      <c r="O4" s="365" t="s">
        <v>267</v>
      </c>
      <c r="P4" s="365">
        <v>2</v>
      </c>
      <c r="Q4" s="365" t="s">
        <v>256</v>
      </c>
      <c r="R4" s="365" t="s">
        <v>268</v>
      </c>
      <c r="S4" s="365">
        <v>3</v>
      </c>
      <c r="T4" s="365" t="s">
        <v>257</v>
      </c>
      <c r="U4" s="365" t="s">
        <v>278</v>
      </c>
      <c r="V4" s="365">
        <v>4</v>
      </c>
      <c r="W4" s="365" t="s">
        <v>258</v>
      </c>
      <c r="X4" s="365" t="s">
        <v>277</v>
      </c>
      <c r="Y4" s="365">
        <v>5</v>
      </c>
      <c r="Z4" s="365" t="s">
        <v>259</v>
      </c>
      <c r="AA4" s="365" t="s">
        <v>276</v>
      </c>
      <c r="AB4" s="365">
        <v>6</v>
      </c>
      <c r="AC4" s="365" t="s">
        <v>260</v>
      </c>
      <c r="AD4" s="365" t="s">
        <v>275</v>
      </c>
      <c r="AE4" s="365">
        <v>7</v>
      </c>
      <c r="AF4" s="365" t="s">
        <v>261</v>
      </c>
      <c r="AG4" s="365" t="s">
        <v>274</v>
      </c>
      <c r="AH4" s="365">
        <v>8</v>
      </c>
      <c r="AI4" s="365" t="s">
        <v>262</v>
      </c>
      <c r="AJ4" s="365" t="s">
        <v>273</v>
      </c>
      <c r="AK4" s="365">
        <v>9</v>
      </c>
      <c r="AL4" s="365" t="s">
        <v>263</v>
      </c>
      <c r="AM4" s="365" t="s">
        <v>272</v>
      </c>
      <c r="AN4" s="365">
        <v>10</v>
      </c>
      <c r="AO4" s="365" t="s">
        <v>264</v>
      </c>
      <c r="AP4" s="365" t="s">
        <v>271</v>
      </c>
      <c r="AQ4" s="365">
        <v>11</v>
      </c>
      <c r="AR4" s="365" t="s">
        <v>265</v>
      </c>
      <c r="AS4" s="365" t="s">
        <v>270</v>
      </c>
      <c r="AT4" s="365">
        <v>12</v>
      </c>
      <c r="AU4" s="366" t="s">
        <v>266</v>
      </c>
      <c r="AV4" s="366" t="s">
        <v>269</v>
      </c>
    </row>
    <row r="5" spans="1:49" s="233" customFormat="1" ht="33.75" customHeight="1" x14ac:dyDescent="0.45">
      <c r="A5" s="229"/>
      <c r="B5" s="346"/>
      <c r="C5" s="231"/>
      <c r="D5" s="231"/>
      <c r="E5" s="231"/>
      <c r="F5" s="231"/>
      <c r="H5" s="357">
        <v>0.93</v>
      </c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1"/>
    </row>
    <row r="6" spans="1:49" s="233" customFormat="1" ht="30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19079.32115</v>
      </c>
      <c r="I6" s="363">
        <v>0.75</v>
      </c>
      <c r="J6" s="362">
        <v>13000</v>
      </c>
      <c r="K6" s="361">
        <f>(O6+R6+U6+X6+AA6+AD6+AG6+AJ6+AM6+AP6+AS6+AV6)/12</f>
        <v>13049.801894576667</v>
      </c>
      <c r="L6" s="372">
        <f>H6*0.0066</f>
        <v>125.92351959</v>
      </c>
      <c r="M6" s="373">
        <f>$H6*M$4</f>
        <v>19079.32115</v>
      </c>
      <c r="N6" s="374">
        <f>(M6-10000)*0.2+10000*0.15</f>
        <v>3315.8642300000001</v>
      </c>
      <c r="O6" s="373">
        <f>H6-L6-N6</f>
        <v>15637.53340041</v>
      </c>
      <c r="P6" s="373">
        <f>$H6*2</f>
        <v>38158.6423</v>
      </c>
      <c r="Q6" s="376">
        <f>(P6-25000)*0.27+4500-N6</f>
        <v>4736.9691910000001</v>
      </c>
      <c r="R6" s="373">
        <f>H6-L6-Q6</f>
        <v>14216.42843941</v>
      </c>
      <c r="S6" s="373">
        <f t="shared" ref="S6:S27" si="0">H6*3</f>
        <v>57237.963449999996</v>
      </c>
      <c r="T6" s="376">
        <f>M6*0.27</f>
        <v>5151.4167105000006</v>
      </c>
      <c r="U6" s="373">
        <f>H6-L6-T6</f>
        <v>13801.980919909998</v>
      </c>
      <c r="V6" s="373">
        <f t="shared" ref="V6:V27" si="1">H6*4</f>
        <v>76317.284599999999</v>
      </c>
      <c r="W6" s="376">
        <f t="shared" ref="W6:W23" si="2">H6*0.27</f>
        <v>5151.4167105000006</v>
      </c>
      <c r="X6" s="373">
        <f>H6-L6-W6</f>
        <v>13801.980919909998</v>
      </c>
      <c r="Y6" s="373">
        <f t="shared" ref="Y6:Y27" si="3">H6*5</f>
        <v>95396.605750000002</v>
      </c>
      <c r="Z6" s="377">
        <f>(Y6-88000)*0.35+(88000-V6)*0.27</f>
        <v>5743.1451705000009</v>
      </c>
      <c r="AA6" s="373">
        <f>H6-L6-Z6</f>
        <v>13210.25245991</v>
      </c>
      <c r="AB6" s="373">
        <f t="shared" ref="AB6:AB27" si="4">H6*6</f>
        <v>114475.92689999999</v>
      </c>
      <c r="AC6" s="377">
        <f>$H$6*0.35</f>
        <v>6677.7624024999996</v>
      </c>
      <c r="AD6" s="373">
        <f>H6-L6-AC6</f>
        <v>12275.635227909999</v>
      </c>
      <c r="AE6" s="373">
        <f t="shared" ref="AE6:AE27" si="5">H6*7</f>
        <v>133555.24804999999</v>
      </c>
      <c r="AF6" s="377">
        <f>$H$6*0.35</f>
        <v>6677.7624024999996</v>
      </c>
      <c r="AG6" s="373">
        <f>H6-L6-AF6</f>
        <v>12275.635227909999</v>
      </c>
      <c r="AH6" s="373">
        <f t="shared" ref="AH6:AH27" si="6">H6*8</f>
        <v>152634.5692</v>
      </c>
      <c r="AI6" s="377">
        <f>$H$6*0.35</f>
        <v>6677.7624024999996</v>
      </c>
      <c r="AJ6" s="373">
        <f>AG6</f>
        <v>12275.635227909999</v>
      </c>
      <c r="AK6" s="373">
        <f t="shared" ref="AK6:AK27" si="7">H6*9</f>
        <v>171713.89035</v>
      </c>
      <c r="AL6" s="377">
        <f>$H$6*0.35</f>
        <v>6677.7624024999996</v>
      </c>
      <c r="AM6" s="373">
        <f>AJ6</f>
        <v>12275.635227909999</v>
      </c>
      <c r="AN6" s="373">
        <f t="shared" ref="AN6:AN27" si="8">H6*10</f>
        <v>190793.2115</v>
      </c>
      <c r="AO6" s="377">
        <f>$H$6*0.35</f>
        <v>6677.7624024999996</v>
      </c>
      <c r="AP6" s="373">
        <f>AM6</f>
        <v>12275.635227909999</v>
      </c>
      <c r="AQ6" s="373">
        <f t="shared" ref="AQ6:AQ27" si="9">H6*11</f>
        <v>209872.53265000001</v>
      </c>
      <c r="AR6" s="377">
        <f>$H$6*0.35</f>
        <v>6677.7624024999996</v>
      </c>
      <c r="AS6" s="373">
        <f>AP6</f>
        <v>12275.635227909999</v>
      </c>
      <c r="AT6" s="373">
        <f t="shared" ref="AT6:AT27" si="10">H6*12</f>
        <v>228951.85379999998</v>
      </c>
      <c r="AU6" s="377">
        <f>$H$6*0.35</f>
        <v>6677.7624024999996</v>
      </c>
      <c r="AV6" s="373">
        <f>AS6</f>
        <v>12275.635227909999</v>
      </c>
      <c r="AW6" s="371"/>
    </row>
    <row r="7" spans="1:49" s="233" customFormat="1" ht="30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12094.385588000001</v>
      </c>
      <c r="I7" s="363">
        <v>0.34</v>
      </c>
      <c r="J7" s="362">
        <v>8500</v>
      </c>
      <c r="K7" s="361">
        <f t="shared" ref="K7:K9" si="11">(O7+R7+U7+X7+AA7+AD7+AG7+AJ7+AM7+AP7+AS7+AV7)/12</f>
        <v>8555.6943539858676</v>
      </c>
      <c r="L7" s="372">
        <f t="shared" ref="L7:L53" si="12">H7*0.0066</f>
        <v>79.822944880800009</v>
      </c>
      <c r="M7" s="373">
        <f t="shared" ref="M7:M53" si="13">$H7*M$4</f>
        <v>12094.385588000001</v>
      </c>
      <c r="N7" s="374">
        <f>(M7-10000)*0.2+1500</f>
        <v>1918.8771176000002</v>
      </c>
      <c r="O7" s="373">
        <f>H7-L7-N7</f>
        <v>10095.6855255192</v>
      </c>
      <c r="P7" s="373">
        <f t="shared" ref="P7:P53" si="14">$H7*2</f>
        <v>24188.771176000002</v>
      </c>
      <c r="Q7" s="374">
        <f>H7*0.2</f>
        <v>2418.8771176000005</v>
      </c>
      <c r="R7" s="373">
        <f>H7-L7-Q7</f>
        <v>9595.6855255192004</v>
      </c>
      <c r="S7" s="373">
        <f t="shared" si="0"/>
        <v>36283.156763999999</v>
      </c>
      <c r="T7" s="376">
        <f>(25000-P7)*0.2+(S7-25000)*0.27</f>
        <v>3208.6980910799994</v>
      </c>
      <c r="U7" s="373">
        <f>H7-L7-T7</f>
        <v>8805.864552039202</v>
      </c>
      <c r="V7" s="373">
        <f t="shared" si="1"/>
        <v>48377.542352000004</v>
      </c>
      <c r="W7" s="376">
        <f t="shared" si="2"/>
        <v>3265.4841087600007</v>
      </c>
      <c r="X7" s="373">
        <f>H7-L7-W7</f>
        <v>8749.0785343591997</v>
      </c>
      <c r="Y7" s="373">
        <f t="shared" si="3"/>
        <v>60471.927940000009</v>
      </c>
      <c r="Z7" s="376">
        <f t="shared" ref="Z7:Z14" si="15">H7*0.27</f>
        <v>3265.4841087600007</v>
      </c>
      <c r="AA7" s="373">
        <f>H7-L7-Z7</f>
        <v>8749.0785343591997</v>
      </c>
      <c r="AB7" s="373">
        <f t="shared" si="4"/>
        <v>72566.313527999999</v>
      </c>
      <c r="AC7" s="376">
        <f t="shared" ref="AC7:AC14" si="16">H7*0.27</f>
        <v>3265.4841087600007</v>
      </c>
      <c r="AD7" s="373">
        <f>H7-L7-AC7</f>
        <v>8749.0785343591997</v>
      </c>
      <c r="AE7" s="373">
        <f t="shared" si="5"/>
        <v>84660.699116000003</v>
      </c>
      <c r="AF7" s="376">
        <f>H7*0.27</f>
        <v>3265.4841087600007</v>
      </c>
      <c r="AG7" s="373">
        <f>H7-L7-AF7</f>
        <v>8749.0785343591997</v>
      </c>
      <c r="AH7" s="373">
        <f t="shared" si="6"/>
        <v>96755.084704000008</v>
      </c>
      <c r="AI7" s="377">
        <f>(AH7-88000)*0.35+(88000-AE7)*0.27</f>
        <v>3965.8908850800017</v>
      </c>
      <c r="AJ7" s="373">
        <f>H7-L7-AI7</f>
        <v>8048.6717580391996</v>
      </c>
      <c r="AK7" s="373">
        <f t="shared" si="7"/>
        <v>108849.47029200001</v>
      </c>
      <c r="AL7" s="377">
        <f>H7*0.35</f>
        <v>4233.0349557999998</v>
      </c>
      <c r="AM7" s="373">
        <f>$H$7-$L$7-AL7</f>
        <v>7781.5276873192015</v>
      </c>
      <c r="AN7" s="373">
        <f t="shared" si="8"/>
        <v>120943.85588000002</v>
      </c>
      <c r="AO7" s="377">
        <f t="shared" ref="AO7:AO13" si="17">H7*0.35</f>
        <v>4233.0349557999998</v>
      </c>
      <c r="AP7" s="373">
        <f>$H$7-$L$7-AO7</f>
        <v>7781.5276873192015</v>
      </c>
      <c r="AQ7" s="373">
        <f t="shared" si="9"/>
        <v>133038.24146800002</v>
      </c>
      <c r="AR7" s="377">
        <f t="shared" ref="AR7:AR22" si="18">H7*0.35</f>
        <v>4233.0349557999998</v>
      </c>
      <c r="AS7" s="373">
        <f>$H$7-$L$7-AR7</f>
        <v>7781.5276873192015</v>
      </c>
      <c r="AT7" s="373">
        <f t="shared" si="10"/>
        <v>145132.627056</v>
      </c>
      <c r="AU7" s="377">
        <f t="shared" ref="AU7" si="19">AR7</f>
        <v>4233.0349557999998</v>
      </c>
      <c r="AV7" s="373">
        <f>$H$7-$L$7-AU7</f>
        <v>7781.5276873192015</v>
      </c>
      <c r="AW7" s="371"/>
    </row>
    <row r="8" spans="1:49" s="233" customFormat="1" ht="30" customHeight="1" x14ac:dyDescent="0.45">
      <c r="A8" s="728"/>
      <c r="B8" s="368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7" si="20">D8+E8*$H$5*$I8-G8</f>
        <v>9879.6499220000005</v>
      </c>
      <c r="I8" s="363">
        <v>0.21</v>
      </c>
      <c r="J8" s="362">
        <v>7066</v>
      </c>
      <c r="K8" s="361">
        <f t="shared" si="11"/>
        <v>7130.7334264814681</v>
      </c>
      <c r="L8" s="372">
        <f t="shared" si="12"/>
        <v>65.205689485199997</v>
      </c>
      <c r="M8" s="373">
        <f t="shared" si="13"/>
        <v>9879.6499220000005</v>
      </c>
      <c r="N8" s="378">
        <f>H8*0.15</f>
        <v>1481.9474883</v>
      </c>
      <c r="O8" s="373">
        <f>$H$8-$L$8-N8</f>
        <v>8332.4967442148009</v>
      </c>
      <c r="P8" s="373">
        <f t="shared" si="14"/>
        <v>19759.299844000001</v>
      </c>
      <c r="Q8" s="374">
        <f t="shared" ref="Q8" si="21">(P8-10000)*0.2+(10000-M8)*0.15</f>
        <v>1969.9124805000004</v>
      </c>
      <c r="R8" s="373">
        <f>$H$8-$L$8-Q8</f>
        <v>7844.531752014801</v>
      </c>
      <c r="S8" s="373">
        <f t="shared" si="0"/>
        <v>29638.949766000002</v>
      </c>
      <c r="T8" s="376">
        <f>(S8-25000)*0.27+(25000-P8)*0.2</f>
        <v>2300.6564680200004</v>
      </c>
      <c r="U8" s="373">
        <f>$H$8-$L$8-T8</f>
        <v>7513.7877644948003</v>
      </c>
      <c r="V8" s="373">
        <f t="shared" si="1"/>
        <v>39518.599688000002</v>
      </c>
      <c r="W8" s="376">
        <f t="shared" si="2"/>
        <v>2667.5054789400001</v>
      </c>
      <c r="X8" s="373">
        <f>$H$8-$L$8-W8</f>
        <v>7146.938753574801</v>
      </c>
      <c r="Y8" s="373">
        <f t="shared" si="3"/>
        <v>49398.249609999999</v>
      </c>
      <c r="Z8" s="376">
        <f t="shared" si="15"/>
        <v>2667.5054789400001</v>
      </c>
      <c r="AA8" s="373">
        <f>$H$8-$L$8-Z8</f>
        <v>7146.938753574801</v>
      </c>
      <c r="AB8" s="373">
        <f t="shared" si="4"/>
        <v>59277.899532000003</v>
      </c>
      <c r="AC8" s="376">
        <f t="shared" si="16"/>
        <v>2667.5054789400001</v>
      </c>
      <c r="AD8" s="373">
        <f>$H$8-$L$8-AC8</f>
        <v>7146.938753574801</v>
      </c>
      <c r="AE8" s="373">
        <f t="shared" si="5"/>
        <v>69157.549454000007</v>
      </c>
      <c r="AF8" s="376">
        <f>H8*0.27</f>
        <v>2667.5054789400001</v>
      </c>
      <c r="AG8" s="373">
        <f>$H$8-$L$8-AF8</f>
        <v>7146.938753574801</v>
      </c>
      <c r="AH8" s="373">
        <f t="shared" si="6"/>
        <v>79037.199376000004</v>
      </c>
      <c r="AI8" s="376">
        <f>H8*0.27</f>
        <v>2667.5054789400001</v>
      </c>
      <c r="AJ8" s="373">
        <f>$H$8-$L$8-AI8</f>
        <v>7146.938753574801</v>
      </c>
      <c r="AK8" s="373">
        <f t="shared" si="7"/>
        <v>88916.849298000001</v>
      </c>
      <c r="AL8" s="377">
        <f>(AK8-88000)*0.35+(88000-AH8)*0.27</f>
        <v>2740.8534227799996</v>
      </c>
      <c r="AM8" s="373">
        <f>$H$8-$L$8-AL8</f>
        <v>7073.590809734802</v>
      </c>
      <c r="AN8" s="373">
        <f t="shared" si="8"/>
        <v>98796.499219999998</v>
      </c>
      <c r="AO8" s="377">
        <f t="shared" si="17"/>
        <v>3457.8774727</v>
      </c>
      <c r="AP8" s="373">
        <f>$H$8-$L$8-AO8</f>
        <v>6356.5667598148011</v>
      </c>
      <c r="AQ8" s="373">
        <f t="shared" si="9"/>
        <v>108676.14914200001</v>
      </c>
      <c r="AR8" s="377">
        <f t="shared" si="18"/>
        <v>3457.8774727</v>
      </c>
      <c r="AS8" s="373">
        <f>$H$8-$L$8-AR8</f>
        <v>6356.5667598148011</v>
      </c>
      <c r="AT8" s="373">
        <f t="shared" si="10"/>
        <v>118555.79906400001</v>
      </c>
      <c r="AU8" s="377">
        <f t="shared" ref="AU8:AU22" si="22">H8*0.35</f>
        <v>3457.8774727</v>
      </c>
      <c r="AV8" s="373">
        <f>$H$8-$L$8-AU8</f>
        <v>6356.5667598148011</v>
      </c>
      <c r="AW8" s="371"/>
    </row>
    <row r="9" spans="1:49" s="233" customFormat="1" ht="30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23">D9+E9</f>
        <v>19983.72</v>
      </c>
      <c r="G9" s="233">
        <v>359</v>
      </c>
      <c r="H9" s="353">
        <f t="shared" si="20"/>
        <v>14975.09072</v>
      </c>
      <c r="I9" s="363">
        <v>0.7</v>
      </c>
      <c r="J9" s="362">
        <v>10350</v>
      </c>
      <c r="K9" s="361">
        <f t="shared" si="11"/>
        <v>10409.14003591467</v>
      </c>
      <c r="L9" s="372">
        <f t="shared" si="12"/>
        <v>98.835598751999996</v>
      </c>
      <c r="M9" s="373">
        <f t="shared" si="13"/>
        <v>14975.09072</v>
      </c>
      <c r="N9" s="374">
        <f t="shared" ref="N9:N21" si="24">(M9-10000)*0.2+10000*0.15</f>
        <v>2495.0181440000001</v>
      </c>
      <c r="O9" s="373">
        <f>H9-N9-L9</f>
        <v>12381.236977248</v>
      </c>
      <c r="P9" s="373">
        <f t="shared" si="14"/>
        <v>29950.18144</v>
      </c>
      <c r="Q9" s="376">
        <f>(P9-25000)*0.27+(25000-M9)*0.2</f>
        <v>3341.5308448000005</v>
      </c>
      <c r="R9" s="373">
        <f>$H$9-$L$9-Q9</f>
        <v>11534.724276448</v>
      </c>
      <c r="S9" s="373">
        <f t="shared" si="0"/>
        <v>44925.27216</v>
      </c>
      <c r="T9" s="376">
        <f t="shared" ref="T9:T10" si="25">M9*0.27</f>
        <v>4043.2744944000001</v>
      </c>
      <c r="U9" s="373">
        <f>$H$9-$L$9-T9</f>
        <v>10832.980626847999</v>
      </c>
      <c r="V9" s="373">
        <f t="shared" si="1"/>
        <v>59900.362880000001</v>
      </c>
      <c r="W9" s="376">
        <f t="shared" si="2"/>
        <v>4043.2744944000001</v>
      </c>
      <c r="X9" s="373">
        <f>$H$9-$L$9-W9</f>
        <v>10832.980626847999</v>
      </c>
      <c r="Y9" s="373">
        <f t="shared" si="3"/>
        <v>74875.453600000008</v>
      </c>
      <c r="Z9" s="376">
        <f t="shared" si="15"/>
        <v>4043.2744944000001</v>
      </c>
      <c r="AA9" s="373">
        <f>$H$9-$L$9-Z9</f>
        <v>10832.980626847999</v>
      </c>
      <c r="AB9" s="373">
        <f t="shared" si="4"/>
        <v>89850.544320000001</v>
      </c>
      <c r="AC9" s="377">
        <f>(AB9-88000)*0.35+(88000-Y9)*0.27</f>
        <v>4191.3180399999983</v>
      </c>
      <c r="AD9" s="373">
        <f>$H$9-$L$9-AC9</f>
        <v>10684.937081248001</v>
      </c>
      <c r="AE9" s="373">
        <f t="shared" si="5"/>
        <v>104825.63503999999</v>
      </c>
      <c r="AF9" s="377">
        <f>H9*0.35</f>
        <v>5241.2817519999999</v>
      </c>
      <c r="AG9" s="373">
        <f>$H$9-$L$9-AF9</f>
        <v>9634.9733692480004</v>
      </c>
      <c r="AH9" s="373">
        <f t="shared" si="6"/>
        <v>119800.72576</v>
      </c>
      <c r="AI9" s="377">
        <f>H9*0.35</f>
        <v>5241.2817519999999</v>
      </c>
      <c r="AJ9" s="373">
        <f>$H$9-$L$9-AI9</f>
        <v>9634.9733692480004</v>
      </c>
      <c r="AK9" s="373">
        <f t="shared" si="7"/>
        <v>134775.81648000001</v>
      </c>
      <c r="AL9" s="377">
        <f>H9*0.35</f>
        <v>5241.2817519999999</v>
      </c>
      <c r="AM9" s="373">
        <f>$H$9-$L$9-AL9</f>
        <v>9634.9733692480004</v>
      </c>
      <c r="AN9" s="373">
        <f t="shared" si="8"/>
        <v>149750.90720000002</v>
      </c>
      <c r="AO9" s="377">
        <f t="shared" si="17"/>
        <v>5241.2817519999999</v>
      </c>
      <c r="AP9" s="373">
        <f>$H$9-$L$9-AO9</f>
        <v>9634.9733692480004</v>
      </c>
      <c r="AQ9" s="373">
        <f t="shared" si="9"/>
        <v>164725.99791999999</v>
      </c>
      <c r="AR9" s="377">
        <f t="shared" si="18"/>
        <v>5241.2817519999999</v>
      </c>
      <c r="AS9" s="373">
        <f>$H$9-$L$9-AR9</f>
        <v>9634.9733692480004</v>
      </c>
      <c r="AT9" s="373">
        <f t="shared" si="10"/>
        <v>179701.08864</v>
      </c>
      <c r="AU9" s="377">
        <f t="shared" si="22"/>
        <v>5241.2817519999999</v>
      </c>
      <c r="AV9" s="373">
        <f>$H$9-$L$9-AU9</f>
        <v>9634.9733692480004</v>
      </c>
      <c r="AW9" s="371"/>
    </row>
    <row r="10" spans="1:49" s="233" customFormat="1" ht="30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23"/>
        <v>19983.72</v>
      </c>
      <c r="G10" s="233">
        <v>359</v>
      </c>
      <c r="H10" s="353">
        <f t="shared" si="20"/>
        <v>13612.176464</v>
      </c>
      <c r="I10" s="363">
        <v>0.59</v>
      </c>
      <c r="J10" s="362">
        <v>9500</v>
      </c>
      <c r="K10" s="361">
        <f>(O10+R10+U10+X10+AA10+AD10+AG10+AJ10+AM10+AP10+AS10+AV10)/12</f>
        <v>9532.2410036042656</v>
      </c>
      <c r="L10" s="372">
        <f t="shared" si="12"/>
        <v>89.840364662400006</v>
      </c>
      <c r="M10" s="373">
        <f t="shared" si="13"/>
        <v>13612.176464</v>
      </c>
      <c r="N10" s="374">
        <f t="shared" si="24"/>
        <v>2222.4352927999998</v>
      </c>
      <c r="O10" s="373">
        <f>$H$10-$L$10-N10</f>
        <v>11299.9008065376</v>
      </c>
      <c r="P10" s="373">
        <f t="shared" si="14"/>
        <v>27224.352928</v>
      </c>
      <c r="Q10" s="376">
        <f>(P10-25000)*0.27+(25000-M10)*0.2</f>
        <v>2878.1399977600004</v>
      </c>
      <c r="R10" s="373">
        <f>$H$10-$L$10-Q10</f>
        <v>10644.1961015776</v>
      </c>
      <c r="S10" s="373">
        <f t="shared" si="0"/>
        <v>40836.529391999997</v>
      </c>
      <c r="T10" s="376">
        <f t="shared" si="25"/>
        <v>3675.2876452800001</v>
      </c>
      <c r="U10" s="373">
        <f>$H$10-$L$10-T10</f>
        <v>9847.0484540575999</v>
      </c>
      <c r="V10" s="373">
        <f t="shared" si="1"/>
        <v>54448.705856</v>
      </c>
      <c r="W10" s="376">
        <f t="shared" si="2"/>
        <v>3675.2876452800001</v>
      </c>
      <c r="X10" s="373">
        <f>$H$10-$L$10-W10</f>
        <v>9847.0484540575999</v>
      </c>
      <c r="Y10" s="373">
        <f t="shared" si="3"/>
        <v>68060.882320000004</v>
      </c>
      <c r="Z10" s="376">
        <f t="shared" si="15"/>
        <v>3675.2876452800001</v>
      </c>
      <c r="AA10" s="373">
        <f>$H$10-$L$10-Z10</f>
        <v>9847.0484540575999</v>
      </c>
      <c r="AB10" s="373">
        <f t="shared" si="4"/>
        <v>81673.058783999993</v>
      </c>
      <c r="AC10" s="376">
        <f t="shared" si="16"/>
        <v>3675.2876452800001</v>
      </c>
      <c r="AD10" s="373">
        <f>$H$10-$L$10-AC10</f>
        <v>9847.0484540575999</v>
      </c>
      <c r="AE10" s="373">
        <f t="shared" si="5"/>
        <v>95285.235247999997</v>
      </c>
      <c r="AF10" s="377">
        <f>(AE10-88000)*0.35+(88000-AB10)*0.27</f>
        <v>4258.1064651200004</v>
      </c>
      <c r="AG10" s="373">
        <f>$H$10-$L$10-AF10</f>
        <v>9264.2296342176014</v>
      </c>
      <c r="AH10" s="373">
        <f t="shared" si="6"/>
        <v>108897.411712</v>
      </c>
      <c r="AI10" s="377">
        <f>H10*0.35</f>
        <v>4764.2617623999995</v>
      </c>
      <c r="AJ10" s="373">
        <f>$H$10-$L$10-AI10</f>
        <v>8758.0743369376014</v>
      </c>
      <c r="AK10" s="373">
        <f t="shared" si="7"/>
        <v>122509.588176</v>
      </c>
      <c r="AL10" s="377">
        <f>H10*0.35</f>
        <v>4764.2617623999995</v>
      </c>
      <c r="AM10" s="373">
        <f>$H$10-$L$10-AL10</f>
        <v>8758.0743369376014</v>
      </c>
      <c r="AN10" s="373">
        <f t="shared" si="8"/>
        <v>136121.76464000001</v>
      </c>
      <c r="AO10" s="377">
        <f t="shared" si="17"/>
        <v>4764.2617623999995</v>
      </c>
      <c r="AP10" s="373">
        <f>$H$10-$L$10-AO10</f>
        <v>8758.0743369376014</v>
      </c>
      <c r="AQ10" s="373">
        <f t="shared" si="9"/>
        <v>149733.941104</v>
      </c>
      <c r="AR10" s="377">
        <f t="shared" si="18"/>
        <v>4764.2617623999995</v>
      </c>
      <c r="AS10" s="373">
        <f>$H$10-$L$10-AR10</f>
        <v>8758.0743369376014</v>
      </c>
      <c r="AT10" s="373">
        <f t="shared" si="10"/>
        <v>163346.11756799999</v>
      </c>
      <c r="AU10" s="377">
        <f t="shared" si="22"/>
        <v>4764.2617623999995</v>
      </c>
      <c r="AV10" s="373">
        <f>$H$10-$L$10-AU10</f>
        <v>8758.0743369376014</v>
      </c>
      <c r="AW10" s="371"/>
    </row>
    <row r="11" spans="1:49" s="233" customFormat="1" ht="30" customHeight="1" x14ac:dyDescent="0.45">
      <c r="A11" s="728"/>
      <c r="B11" s="368" t="s">
        <v>234</v>
      </c>
      <c r="C11" s="231">
        <v>300</v>
      </c>
      <c r="D11" s="238">
        <v>6661</v>
      </c>
      <c r="E11" s="234">
        <v>9992.0399999999991</v>
      </c>
      <c r="F11" s="234">
        <f t="shared" si="23"/>
        <v>16653.04</v>
      </c>
      <c r="G11" s="233">
        <v>359</v>
      </c>
      <c r="H11" s="353">
        <f t="shared" si="20"/>
        <v>12620.966096</v>
      </c>
      <c r="I11" s="363">
        <v>0.68</v>
      </c>
      <c r="J11" s="362">
        <v>8861</v>
      </c>
      <c r="K11" s="361">
        <f>(O11+R11+U11+X11+AA11+AD11+AG11+AJ11+AM11+AP11+AS11+AV11)/12</f>
        <v>8894.4962528330634</v>
      </c>
      <c r="L11" s="372">
        <f t="shared" si="12"/>
        <v>83.298376233599996</v>
      </c>
      <c r="M11" s="373">
        <f t="shared" si="13"/>
        <v>12620.966096</v>
      </c>
      <c r="N11" s="374">
        <f t="shared" si="24"/>
        <v>2024.1932191999999</v>
      </c>
      <c r="O11" s="373">
        <f>$H$11-$L$11-N11</f>
        <v>10513.474500566399</v>
      </c>
      <c r="P11" s="373">
        <f t="shared" si="14"/>
        <v>25241.932192</v>
      </c>
      <c r="Q11" s="376">
        <f>(P11-25000)*0.27+(25000-M11)*0.2</f>
        <v>2541.1284726399999</v>
      </c>
      <c r="R11" s="373">
        <f>$H$11-$L$11-Q11</f>
        <v>9996.5392471263985</v>
      </c>
      <c r="S11" s="373">
        <f t="shared" si="0"/>
        <v>37862.898287999997</v>
      </c>
      <c r="T11" s="376">
        <f>H11*0.27</f>
        <v>3407.6608459200002</v>
      </c>
      <c r="U11" s="373">
        <f>$H$11-$L$11-T11</f>
        <v>9130.0068738463997</v>
      </c>
      <c r="V11" s="373">
        <f t="shared" si="1"/>
        <v>50483.864384</v>
      </c>
      <c r="W11" s="376">
        <f t="shared" si="2"/>
        <v>3407.6608459200002</v>
      </c>
      <c r="X11" s="373">
        <f>$H$11-$L$11-W11</f>
        <v>9130.0068738463997</v>
      </c>
      <c r="Y11" s="373">
        <f t="shared" si="3"/>
        <v>63104.830480000004</v>
      </c>
      <c r="Z11" s="376">
        <f t="shared" si="15"/>
        <v>3407.6608459200002</v>
      </c>
      <c r="AA11" s="373">
        <f>$H$11-$L$11-Z11</f>
        <v>9130.0068738463997</v>
      </c>
      <c r="AB11" s="373">
        <f t="shared" si="4"/>
        <v>75725.796575999993</v>
      </c>
      <c r="AC11" s="376">
        <f t="shared" si="16"/>
        <v>3407.6608459200002</v>
      </c>
      <c r="AD11" s="373">
        <f>$H$11-$L$11-AC11</f>
        <v>9130.0068738463997</v>
      </c>
      <c r="AE11" s="373">
        <f t="shared" si="5"/>
        <v>88346.762671999997</v>
      </c>
      <c r="AF11" s="377">
        <f>(AE11-88000)*0.35+(88000-AB11)*0.27</f>
        <v>3435.4018596800006</v>
      </c>
      <c r="AG11" s="373">
        <f>$H$11-$L$11-AF11</f>
        <v>9102.2658600863979</v>
      </c>
      <c r="AH11" s="373">
        <f t="shared" si="6"/>
        <v>100967.728768</v>
      </c>
      <c r="AI11" s="377">
        <f>H11*0.35</f>
        <v>4417.3381335999993</v>
      </c>
      <c r="AJ11" s="373">
        <f>$H$11-$L$11-AI11</f>
        <v>8120.3295861664001</v>
      </c>
      <c r="AK11" s="373">
        <f t="shared" si="7"/>
        <v>113588.694864</v>
      </c>
      <c r="AL11" s="377">
        <f>H11*0.35</f>
        <v>4417.3381335999993</v>
      </c>
      <c r="AM11" s="373">
        <f>$H$11-$L$11-AL11</f>
        <v>8120.3295861664001</v>
      </c>
      <c r="AN11" s="373">
        <f t="shared" si="8"/>
        <v>126209.66096000001</v>
      </c>
      <c r="AO11" s="377">
        <f t="shared" si="17"/>
        <v>4417.3381335999993</v>
      </c>
      <c r="AP11" s="373">
        <f>$H$11-$L$11-AO11</f>
        <v>8120.3295861664001</v>
      </c>
      <c r="AQ11" s="373">
        <f t="shared" si="9"/>
        <v>138830.627056</v>
      </c>
      <c r="AR11" s="377">
        <f t="shared" si="18"/>
        <v>4417.3381335999993</v>
      </c>
      <c r="AS11" s="373">
        <f>$H$11-$L$11-AR11</f>
        <v>8120.3295861664001</v>
      </c>
      <c r="AT11" s="373">
        <f t="shared" si="10"/>
        <v>151451.59315199999</v>
      </c>
      <c r="AU11" s="377">
        <f t="shared" si="22"/>
        <v>4417.3381335999993</v>
      </c>
      <c r="AV11" s="373">
        <f>$H$11-$L$11-AU11</f>
        <v>8120.3295861664001</v>
      </c>
      <c r="AW11" s="371"/>
    </row>
    <row r="12" spans="1:49" s="233" customFormat="1" ht="30" customHeight="1" x14ac:dyDescent="0.45">
      <c r="A12" s="728"/>
      <c r="B12" s="368" t="s">
        <v>236</v>
      </c>
      <c r="C12" s="231">
        <v>300</v>
      </c>
      <c r="D12" s="238">
        <v>6661</v>
      </c>
      <c r="E12" s="234">
        <v>9992.0399999999991</v>
      </c>
      <c r="F12" s="234">
        <f t="shared" si="23"/>
        <v>16653.04</v>
      </c>
      <c r="G12" s="233">
        <v>359</v>
      </c>
      <c r="H12" s="353">
        <f t="shared" si="20"/>
        <v>11320.002488</v>
      </c>
      <c r="I12" s="363">
        <v>0.54</v>
      </c>
      <c r="J12" s="362">
        <v>8000</v>
      </c>
      <c r="K12" s="361">
        <f>(O12+R12+U12+X12+AA12+AD12+AG12+AJ12+AM12+AP12+AS12+AV12)/12</f>
        <v>8057.4562674458657</v>
      </c>
      <c r="L12" s="372">
        <f t="shared" si="12"/>
        <v>74.712016420799998</v>
      </c>
      <c r="M12" s="373">
        <f t="shared" si="13"/>
        <v>11320.002488</v>
      </c>
      <c r="N12" s="374">
        <f t="shared" si="24"/>
        <v>1764.0004976</v>
      </c>
      <c r="O12" s="373">
        <f>$H$12-$L$12-N12</f>
        <v>9481.2899739791992</v>
      </c>
      <c r="P12" s="373">
        <f t="shared" si="14"/>
        <v>22640.004976</v>
      </c>
      <c r="Q12" s="374">
        <f>H12*0.2</f>
        <v>2264.0004976</v>
      </c>
      <c r="R12" s="373">
        <f>$H$12-$L$12-Q12</f>
        <v>8981.2899739791992</v>
      </c>
      <c r="S12" s="373">
        <f t="shared" si="0"/>
        <v>33960.007464000002</v>
      </c>
      <c r="T12" s="376">
        <f>(S12-25000)*0.27+(25000-P12)*0.2</f>
        <v>2891.2010200800005</v>
      </c>
      <c r="U12" s="373">
        <f>$H$12-$L$12-T12</f>
        <v>8354.0894514991996</v>
      </c>
      <c r="V12" s="373">
        <f t="shared" si="1"/>
        <v>45280.009952</v>
      </c>
      <c r="W12" s="376">
        <f t="shared" si="2"/>
        <v>3056.40067176</v>
      </c>
      <c r="X12" s="373">
        <f>$H$12-$L$12-W12</f>
        <v>8188.8897998191987</v>
      </c>
      <c r="Y12" s="373">
        <f t="shared" si="3"/>
        <v>56600.012439999999</v>
      </c>
      <c r="Z12" s="376">
        <f t="shared" si="15"/>
        <v>3056.40067176</v>
      </c>
      <c r="AA12" s="373">
        <f>$H$12-$L$12-Z12</f>
        <v>8188.8897998191987</v>
      </c>
      <c r="AB12" s="373">
        <f t="shared" si="4"/>
        <v>67920.014928000004</v>
      </c>
      <c r="AC12" s="376">
        <f t="shared" si="16"/>
        <v>3056.40067176</v>
      </c>
      <c r="AD12" s="373">
        <f>$H$12-$L$12-AC12</f>
        <v>8188.8897998191987</v>
      </c>
      <c r="AE12" s="373">
        <f t="shared" si="5"/>
        <v>79240.017416000002</v>
      </c>
      <c r="AF12" s="376">
        <f>H12*0.27</f>
        <v>3056.40067176</v>
      </c>
      <c r="AG12" s="373">
        <f>$H$12-$L$12-AF12</f>
        <v>8188.8897998191987</v>
      </c>
      <c r="AH12" s="373">
        <f t="shared" si="6"/>
        <v>90560.019904000001</v>
      </c>
      <c r="AI12" s="377">
        <f>(AH12-88000)*0.35+(88000-AE12)*0.27</f>
        <v>3261.2022640799996</v>
      </c>
      <c r="AJ12" s="373">
        <f>$H$12-$L$12-AI12</f>
        <v>7984.0882074991996</v>
      </c>
      <c r="AK12" s="373">
        <f t="shared" si="7"/>
        <v>101880.022392</v>
      </c>
      <c r="AL12" s="377">
        <f>H12*0.35</f>
        <v>3962.0008707999996</v>
      </c>
      <c r="AM12" s="373">
        <f>$H$12-$L$12-AL12</f>
        <v>7283.2896007791996</v>
      </c>
      <c r="AN12" s="373">
        <f t="shared" si="8"/>
        <v>113200.02488</v>
      </c>
      <c r="AO12" s="377">
        <f t="shared" si="17"/>
        <v>3962.0008707999996</v>
      </c>
      <c r="AP12" s="373">
        <f>$H$12-$L$12-AO12</f>
        <v>7283.2896007791996</v>
      </c>
      <c r="AQ12" s="373">
        <f t="shared" si="9"/>
        <v>124520.027368</v>
      </c>
      <c r="AR12" s="377">
        <f t="shared" si="18"/>
        <v>3962.0008707999996</v>
      </c>
      <c r="AS12" s="373">
        <f>$H$12-$L$12-AR12</f>
        <v>7283.2896007791996</v>
      </c>
      <c r="AT12" s="373">
        <f t="shared" si="10"/>
        <v>135840.02985600001</v>
      </c>
      <c r="AU12" s="377">
        <f t="shared" si="22"/>
        <v>3962.0008707999996</v>
      </c>
      <c r="AV12" s="373">
        <f>$H$12-$L$12-AU12</f>
        <v>7283.2896007791996</v>
      </c>
      <c r="AW12" s="371"/>
    </row>
    <row r="13" spans="1:49" s="233" customFormat="1" ht="30" customHeight="1" x14ac:dyDescent="0.45">
      <c r="A13" s="728"/>
      <c r="B13" s="368" t="s">
        <v>235</v>
      </c>
      <c r="C13" s="231">
        <v>300</v>
      </c>
      <c r="D13" s="238">
        <v>6661</v>
      </c>
      <c r="E13" s="234">
        <v>9992.0399999999991</v>
      </c>
      <c r="F13" s="234">
        <f t="shared" si="23"/>
        <v>16653.04</v>
      </c>
      <c r="G13" s="233">
        <v>359</v>
      </c>
      <c r="H13" s="353">
        <f t="shared" si="20"/>
        <v>10483.668740000001</v>
      </c>
      <c r="I13" s="363">
        <v>0.45</v>
      </c>
      <c r="J13" s="362">
        <v>7500</v>
      </c>
      <c r="K13" s="361">
        <f t="shared" ref="K13:K53" si="26">(O13+R13+U13+X13+AA13+AD13+AG13+AJ13+AM13+AP13+AS13+AV13)/12</f>
        <v>7519.3591339826644</v>
      </c>
      <c r="L13" s="372">
        <f t="shared" si="12"/>
        <v>69.192213684000009</v>
      </c>
      <c r="M13" s="373">
        <f t="shared" si="13"/>
        <v>10483.668740000001</v>
      </c>
      <c r="N13" s="374">
        <f t="shared" si="24"/>
        <v>1596.7337480000001</v>
      </c>
      <c r="O13" s="373">
        <f>$H$13-$L$13-N13</f>
        <v>8817.7427783160001</v>
      </c>
      <c r="P13" s="373">
        <f t="shared" si="14"/>
        <v>20967.337480000002</v>
      </c>
      <c r="Q13" s="374">
        <f>H13*0.2</f>
        <v>2096.7337480000001</v>
      </c>
      <c r="R13" s="373">
        <f>$H$13-$L$13-Q13</f>
        <v>8317.7427783160001</v>
      </c>
      <c r="S13" s="373">
        <f t="shared" si="0"/>
        <v>31451.006220000003</v>
      </c>
      <c r="T13" s="376">
        <f>(S13-25000)*0.27+(25000-P13)*0.2</f>
        <v>2548.3041834000005</v>
      </c>
      <c r="U13" s="373">
        <f>$H$13-$L$13-T13</f>
        <v>7866.1723429160002</v>
      </c>
      <c r="V13" s="373">
        <f t="shared" si="1"/>
        <v>41934.674960000004</v>
      </c>
      <c r="W13" s="376">
        <f t="shared" si="2"/>
        <v>2830.5905598000004</v>
      </c>
      <c r="X13" s="373">
        <f>$H$13-$L$13-W13</f>
        <v>7583.8859665159998</v>
      </c>
      <c r="Y13" s="373">
        <f t="shared" si="3"/>
        <v>52418.343700000005</v>
      </c>
      <c r="Z13" s="376">
        <f t="shared" si="15"/>
        <v>2830.5905598000004</v>
      </c>
      <c r="AA13" s="373">
        <f>$H$13-$L$13-Z13</f>
        <v>7583.8859665159998</v>
      </c>
      <c r="AB13" s="373">
        <f t="shared" si="4"/>
        <v>62902.012440000006</v>
      </c>
      <c r="AC13" s="376">
        <f t="shared" si="16"/>
        <v>2830.5905598000004</v>
      </c>
      <c r="AD13" s="373">
        <f>$H$13-$L$13-AC13</f>
        <v>7583.8859665159998</v>
      </c>
      <c r="AE13" s="373">
        <f t="shared" si="5"/>
        <v>73385.681180000014</v>
      </c>
      <c r="AF13" s="376">
        <f>H13*0.27</f>
        <v>2830.5905598000004</v>
      </c>
      <c r="AG13" s="373">
        <f>$H$13-$L$13-AF13</f>
        <v>7583.8859665159998</v>
      </c>
      <c r="AH13" s="373">
        <f t="shared" si="6"/>
        <v>83869.349920000008</v>
      </c>
      <c r="AI13" s="376">
        <f>H13*0.27</f>
        <v>2830.5905598000004</v>
      </c>
      <c r="AJ13" s="373">
        <f>$H$13-$L$13-AI13</f>
        <v>7583.8859665159998</v>
      </c>
      <c r="AK13" s="373">
        <f t="shared" si="7"/>
        <v>94353.018660000002</v>
      </c>
      <c r="AL13" s="377">
        <f>(AK13-88000)*0.35+(88000-AH13)*0.27</f>
        <v>3338.832052599998</v>
      </c>
      <c r="AM13" s="373">
        <f>$H$13-$L$13-AL13</f>
        <v>7075.6444737160027</v>
      </c>
      <c r="AN13" s="373">
        <f t="shared" si="8"/>
        <v>104836.68740000001</v>
      </c>
      <c r="AO13" s="377">
        <f t="shared" si="17"/>
        <v>3669.2840590000001</v>
      </c>
      <c r="AP13" s="373">
        <f>$H$13-$L$13-AO13</f>
        <v>6745.1924673160011</v>
      </c>
      <c r="AQ13" s="373">
        <f t="shared" si="9"/>
        <v>115320.35614000002</v>
      </c>
      <c r="AR13" s="377">
        <f t="shared" si="18"/>
        <v>3669.2840590000001</v>
      </c>
      <c r="AS13" s="373">
        <f>$H$13-$L$13-AR13</f>
        <v>6745.1924673160011</v>
      </c>
      <c r="AT13" s="373">
        <f t="shared" si="10"/>
        <v>125804.02488000001</v>
      </c>
      <c r="AU13" s="377">
        <f t="shared" si="22"/>
        <v>3669.2840590000001</v>
      </c>
      <c r="AV13" s="373">
        <f>$H$13-$L$13-AU13</f>
        <v>6745.1924673160011</v>
      </c>
      <c r="AW13" s="371"/>
    </row>
    <row r="14" spans="1:49" s="233" customFormat="1" ht="30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23"/>
        <v>16653.04</v>
      </c>
      <c r="G14" s="233">
        <v>359</v>
      </c>
      <c r="H14" s="353">
        <f t="shared" si="20"/>
        <v>9461.4830480000001</v>
      </c>
      <c r="I14" s="363">
        <v>0.34</v>
      </c>
      <c r="J14" s="362">
        <v>6400</v>
      </c>
      <c r="K14" s="361">
        <f>(O14+R14+T14+X14+AA14+AD14+AG14+AJ14+AM14+AP14+AS14+AV14)/12</f>
        <v>6433.2997630395985</v>
      </c>
      <c r="L14" s="372">
        <f t="shared" si="12"/>
        <v>62.445788116800003</v>
      </c>
      <c r="M14" s="373">
        <f t="shared" si="13"/>
        <v>9461.4830480000001</v>
      </c>
      <c r="N14" s="378">
        <f>(M14*0.15)</f>
        <v>1419.2224572</v>
      </c>
      <c r="O14" s="373">
        <f>$H$14-$L$14-N14</f>
        <v>7979.8148026832005</v>
      </c>
      <c r="P14" s="373">
        <f t="shared" si="14"/>
        <v>18922.966096</v>
      </c>
      <c r="Q14" s="374">
        <f>(P14-10000)*0.2+(10000-M14)*0.15</f>
        <v>1865.370762</v>
      </c>
      <c r="R14" s="373">
        <f>$H$14-$L$14-Q14</f>
        <v>7533.6664978831996</v>
      </c>
      <c r="S14" s="373">
        <f t="shared" si="0"/>
        <v>28384.449143999998</v>
      </c>
      <c r="T14" s="376">
        <f>(S14-25000)*0.27+(25000-P14)*0.2</f>
        <v>2129.2080496799995</v>
      </c>
      <c r="U14" s="373">
        <f>$H$14-$L$14-T14</f>
        <v>7269.829210203201</v>
      </c>
      <c r="V14" s="373">
        <f t="shared" si="1"/>
        <v>37845.932192</v>
      </c>
      <c r="W14" s="376">
        <f t="shared" si="2"/>
        <v>2554.6004229600003</v>
      </c>
      <c r="X14" s="373">
        <f>$H$14-$L$14-W14</f>
        <v>6844.4368369231997</v>
      </c>
      <c r="Y14" s="373">
        <f t="shared" si="3"/>
        <v>47307.415240000002</v>
      </c>
      <c r="Z14" s="376">
        <f t="shared" si="15"/>
        <v>2554.6004229600003</v>
      </c>
      <c r="AA14" s="373">
        <f>$H$14-$L$14-Z14</f>
        <v>6844.4368369231997</v>
      </c>
      <c r="AB14" s="373">
        <f t="shared" si="4"/>
        <v>56768.898287999997</v>
      </c>
      <c r="AC14" s="376">
        <f t="shared" si="16"/>
        <v>2554.6004229600003</v>
      </c>
      <c r="AD14" s="373">
        <f>$H$14-$L$14-AC14</f>
        <v>6844.4368369231997</v>
      </c>
      <c r="AE14" s="373">
        <f t="shared" si="5"/>
        <v>66230.381336000006</v>
      </c>
      <c r="AF14" s="376">
        <f>H14*0.27</f>
        <v>2554.6004229600003</v>
      </c>
      <c r="AG14" s="373">
        <f>$H$14-$L$14-AF14</f>
        <v>6844.4368369231997</v>
      </c>
      <c r="AH14" s="373">
        <f t="shared" si="6"/>
        <v>75691.864384</v>
      </c>
      <c r="AI14" s="376">
        <f>H14*0.27</f>
        <v>2554.6004229600003</v>
      </c>
      <c r="AJ14" s="373">
        <f>$H$14-$L$14-AI14</f>
        <v>6844.4368369231997</v>
      </c>
      <c r="AK14" s="373">
        <f t="shared" si="7"/>
        <v>85153.347431999995</v>
      </c>
      <c r="AL14" s="376">
        <f>H14*0.27</f>
        <v>2554.6004229600003</v>
      </c>
      <c r="AM14" s="373">
        <f>$H$14-$L$14-AL14</f>
        <v>6844.4368369231997</v>
      </c>
      <c r="AN14" s="373">
        <f t="shared" si="8"/>
        <v>94614.830480000004</v>
      </c>
      <c r="AO14" s="377">
        <f>(AN14-88000)*0.35+(88000-AK14)*0.27</f>
        <v>3083.7868613600026</v>
      </c>
      <c r="AP14" s="373">
        <f>$H$14-$L$14-AO14</f>
        <v>6315.2503985231979</v>
      </c>
      <c r="AQ14" s="373">
        <f t="shared" si="9"/>
        <v>104076.313528</v>
      </c>
      <c r="AR14" s="377">
        <f t="shared" si="18"/>
        <v>3311.5190668</v>
      </c>
      <c r="AS14" s="373">
        <f>$H$14-$L$14-AR14</f>
        <v>6087.5181930832005</v>
      </c>
      <c r="AT14" s="373">
        <f t="shared" si="10"/>
        <v>113537.79657599999</v>
      </c>
      <c r="AU14" s="377">
        <f t="shared" si="22"/>
        <v>3311.5190668</v>
      </c>
      <c r="AV14" s="373">
        <f>$H$14-$L$14-AU14</f>
        <v>6087.5181930832005</v>
      </c>
      <c r="AW14" s="371"/>
    </row>
    <row r="15" spans="1:49" s="233" customFormat="1" ht="30" customHeight="1" x14ac:dyDescent="0.45">
      <c r="A15" s="730" t="s">
        <v>15</v>
      </c>
      <c r="B15" s="368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23"/>
        <v>24980.1</v>
      </c>
      <c r="G15" s="233">
        <v>359</v>
      </c>
      <c r="H15" s="353">
        <f t="shared" si="20"/>
        <v>17832.508023999999</v>
      </c>
      <c r="I15" s="363">
        <v>0.71</v>
      </c>
      <c r="J15" s="362">
        <v>12200</v>
      </c>
      <c r="K15" s="361">
        <f t="shared" si="26"/>
        <v>12247.602329308264</v>
      </c>
      <c r="L15" s="372">
        <f t="shared" si="12"/>
        <v>117.6945529584</v>
      </c>
      <c r="M15" s="373">
        <f t="shared" si="13"/>
        <v>17832.508023999999</v>
      </c>
      <c r="N15" s="374">
        <f t="shared" si="24"/>
        <v>3066.5016047999998</v>
      </c>
      <c r="O15" s="373">
        <f>$H$15-$L$15-N15</f>
        <v>14648.311866241598</v>
      </c>
      <c r="P15" s="373">
        <f t="shared" si="14"/>
        <v>35665.016047999998</v>
      </c>
      <c r="Q15" s="376">
        <f>(P15-25000)*0.27+(25000-M15)*0.2</f>
        <v>4313.0527281599998</v>
      </c>
      <c r="R15" s="373">
        <f>$H$15-$L$15-Q15</f>
        <v>13401.760742881597</v>
      </c>
      <c r="S15" s="373">
        <f t="shared" si="0"/>
        <v>53497.524072</v>
      </c>
      <c r="T15" s="376">
        <f>H15*0.27</f>
        <v>4814.7771664800002</v>
      </c>
      <c r="U15" s="373">
        <f>$H$15-$L$15-T15</f>
        <v>12900.036304561598</v>
      </c>
      <c r="V15" s="373">
        <f t="shared" si="1"/>
        <v>71330.032095999995</v>
      </c>
      <c r="W15" s="376">
        <f t="shared" si="2"/>
        <v>4814.7771664800002</v>
      </c>
      <c r="X15" s="373">
        <f>$H$15-$L$15-W15</f>
        <v>12900.036304561598</v>
      </c>
      <c r="Y15" s="373">
        <f t="shared" si="3"/>
        <v>89162.540119999991</v>
      </c>
      <c r="Z15" s="377">
        <f>(Y15-88000)*0.35+(88000-V15)*0.27</f>
        <v>4907.7803760799989</v>
      </c>
      <c r="AA15" s="373">
        <f>$H$15-$L$15-Z15</f>
        <v>12807.0330949616</v>
      </c>
      <c r="AB15" s="373">
        <f t="shared" si="4"/>
        <v>106995.048144</v>
      </c>
      <c r="AC15" s="377">
        <f>H15*0.35</f>
        <v>6241.3778083999996</v>
      </c>
      <c r="AD15" s="373">
        <f>$H$15-$L$15-AC15</f>
        <v>11473.435662641597</v>
      </c>
      <c r="AE15" s="373">
        <f t="shared" si="5"/>
        <v>124827.556168</v>
      </c>
      <c r="AF15" s="377">
        <f>H15*0.35</f>
        <v>6241.3778083999996</v>
      </c>
      <c r="AG15" s="373">
        <f>$H$15-$L$15-AF15</f>
        <v>11473.435662641597</v>
      </c>
      <c r="AH15" s="373">
        <f t="shared" si="6"/>
        <v>142660.06419199999</v>
      </c>
      <c r="AI15" s="377">
        <f>H15*0.35</f>
        <v>6241.3778083999996</v>
      </c>
      <c r="AJ15" s="373">
        <f>$H$15-$L$15-AI15</f>
        <v>11473.435662641597</v>
      </c>
      <c r="AK15" s="373">
        <f t="shared" si="7"/>
        <v>160492.572216</v>
      </c>
      <c r="AL15" s="377">
        <f>H15*0.35</f>
        <v>6241.3778083999996</v>
      </c>
      <c r="AM15" s="373">
        <f>$H$15-$L$15-AL15</f>
        <v>11473.435662641597</v>
      </c>
      <c r="AN15" s="373">
        <f t="shared" si="8"/>
        <v>178325.08023999998</v>
      </c>
      <c r="AO15" s="377">
        <f>H15*0.35</f>
        <v>6241.3778083999996</v>
      </c>
      <c r="AP15" s="373">
        <f>$H$15-$L$15-AO15</f>
        <v>11473.435662641597</v>
      </c>
      <c r="AQ15" s="373">
        <f t="shared" si="9"/>
        <v>196157.58826399999</v>
      </c>
      <c r="AR15" s="377">
        <f t="shared" si="18"/>
        <v>6241.3778083999996</v>
      </c>
      <c r="AS15" s="373">
        <f>$H$15-$L$15-AR15</f>
        <v>11473.435662641597</v>
      </c>
      <c r="AT15" s="373">
        <f t="shared" si="10"/>
        <v>213990.096288</v>
      </c>
      <c r="AU15" s="377">
        <f t="shared" si="22"/>
        <v>6241.3778083999996</v>
      </c>
      <c r="AV15" s="373">
        <f>$H$15-$L$15-AU15</f>
        <v>11473.435662641597</v>
      </c>
      <c r="AW15" s="371"/>
    </row>
    <row r="16" spans="1:49" s="233" customFormat="1" ht="30" customHeight="1" x14ac:dyDescent="0.45">
      <c r="A16" s="730"/>
      <c r="B16" s="368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23"/>
        <v>24980.1</v>
      </c>
      <c r="G16" s="233">
        <v>359</v>
      </c>
      <c r="H16" s="353">
        <f t="shared" si="20"/>
        <v>11327.689984000001</v>
      </c>
      <c r="I16" s="363">
        <v>0.36</v>
      </c>
      <c r="J16" s="362">
        <v>8000</v>
      </c>
      <c r="K16" s="361">
        <f t="shared" si="26"/>
        <v>8062.4024023722677</v>
      </c>
      <c r="L16" s="372">
        <f t="shared" si="12"/>
        <v>74.762753894400007</v>
      </c>
      <c r="M16" s="373">
        <f t="shared" si="13"/>
        <v>11327.689984000001</v>
      </c>
      <c r="N16" s="374">
        <f t="shared" si="24"/>
        <v>1765.5379968000002</v>
      </c>
      <c r="O16" s="373">
        <f>$H$16-$L$16-N16</f>
        <v>9487.389233305601</v>
      </c>
      <c r="P16" s="373">
        <f t="shared" si="14"/>
        <v>22655.379968000001</v>
      </c>
      <c r="Q16" s="374">
        <f>H16*0.2</f>
        <v>2265.5379968000002</v>
      </c>
      <c r="R16" s="373">
        <f>$H$16-$L$16-Q16</f>
        <v>8987.389233305601</v>
      </c>
      <c r="S16" s="373">
        <f t="shared" si="0"/>
        <v>33983.069952000005</v>
      </c>
      <c r="T16" s="376">
        <f>(S16-25000)*0.27+(25000-P16)*0.2</f>
        <v>2894.352893440001</v>
      </c>
      <c r="U16" s="373">
        <f>$H$16-$L$16-T16</f>
        <v>8358.5743366655988</v>
      </c>
      <c r="V16" s="373">
        <f t="shared" si="1"/>
        <v>45310.759936000002</v>
      </c>
      <c r="W16" s="376">
        <f t="shared" si="2"/>
        <v>3058.4762956800005</v>
      </c>
      <c r="X16" s="373">
        <f>$H$16-$L$16-W16</f>
        <v>8194.4509344256003</v>
      </c>
      <c r="Y16" s="373">
        <f t="shared" si="3"/>
        <v>56638.449919999999</v>
      </c>
      <c r="Z16" s="376">
        <f t="shared" ref="Z16:Z24" si="27">H16*0.27</f>
        <v>3058.4762956800005</v>
      </c>
      <c r="AA16" s="373">
        <f>$H$16-$L$16-Z16</f>
        <v>8194.4509344256003</v>
      </c>
      <c r="AB16" s="373">
        <f t="shared" si="4"/>
        <v>67966.139904000011</v>
      </c>
      <c r="AC16" s="376">
        <f t="shared" ref="AC16:AC52" si="28">H16*0.27</f>
        <v>3058.4762956800005</v>
      </c>
      <c r="AD16" s="373">
        <f>$H$16-$L$16-AC16</f>
        <v>8194.4509344256003</v>
      </c>
      <c r="AE16" s="373">
        <f t="shared" si="5"/>
        <v>79293.829888000007</v>
      </c>
      <c r="AF16" s="376">
        <f>H16*0.27</f>
        <v>3058.4762956800005</v>
      </c>
      <c r="AG16" s="373">
        <f>$H$16-$L$16-AF16</f>
        <v>8194.4509344256003</v>
      </c>
      <c r="AH16" s="373">
        <f t="shared" si="6"/>
        <v>90621.519872000004</v>
      </c>
      <c r="AI16" s="377">
        <f>(AH16-88000)*0.35+(88000-AE16)*0.27</f>
        <v>3268.1978854399995</v>
      </c>
      <c r="AJ16" s="373">
        <f>$H$16-$L$16-AI16</f>
        <v>7984.7293446656013</v>
      </c>
      <c r="AK16" s="373">
        <f t="shared" si="7"/>
        <v>101949.209856</v>
      </c>
      <c r="AL16" s="377">
        <f>H16*0.35</f>
        <v>3964.6914944</v>
      </c>
      <c r="AM16" s="373">
        <f>$H$16-$L$16-AL16</f>
        <v>7288.2357357056007</v>
      </c>
      <c r="AN16" s="373">
        <f t="shared" si="8"/>
        <v>113276.89984</v>
      </c>
      <c r="AO16" s="377">
        <f>H16*0.35</f>
        <v>3964.6914944</v>
      </c>
      <c r="AP16" s="373">
        <f>$H$16-$L$16-AO16</f>
        <v>7288.2357357056007</v>
      </c>
      <c r="AQ16" s="373">
        <f t="shared" si="9"/>
        <v>124604.58982400001</v>
      </c>
      <c r="AR16" s="377">
        <f t="shared" si="18"/>
        <v>3964.6914944</v>
      </c>
      <c r="AS16" s="373">
        <f>$H$16-$L$16-AR16</f>
        <v>7288.2357357056007</v>
      </c>
      <c r="AT16" s="373">
        <f t="shared" si="10"/>
        <v>135932.27980800002</v>
      </c>
      <c r="AU16" s="377">
        <f t="shared" si="22"/>
        <v>3964.6914944</v>
      </c>
      <c r="AV16" s="373">
        <f>$H$16-$L$16-AU16</f>
        <v>7288.2357357056007</v>
      </c>
      <c r="AW16" s="371"/>
    </row>
    <row r="17" spans="1:49" s="233" customFormat="1" ht="30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23"/>
        <v>24980.1</v>
      </c>
      <c r="G17" s="233">
        <v>359</v>
      </c>
      <c r="H17" s="353">
        <f t="shared" si="20"/>
        <v>9469.1705440000005</v>
      </c>
      <c r="I17" s="363">
        <v>0.26</v>
      </c>
      <c r="J17" s="362">
        <v>6804</v>
      </c>
      <c r="K17" s="361">
        <f t="shared" si="26"/>
        <v>6866.6309946762667</v>
      </c>
      <c r="L17" s="372">
        <f t="shared" si="12"/>
        <v>62.496525590400005</v>
      </c>
      <c r="M17" s="373">
        <f t="shared" si="13"/>
        <v>9469.1705440000005</v>
      </c>
      <c r="N17" s="378">
        <f>M17*0.15</f>
        <v>1420.3755816</v>
      </c>
      <c r="O17" s="373">
        <f>$H$17-$L$17-N17</f>
        <v>7986.2984368095995</v>
      </c>
      <c r="P17" s="373">
        <f t="shared" si="14"/>
        <v>18938.341088000001</v>
      </c>
      <c r="Q17" s="374">
        <f>(P17-10000)*0.2+(10000-M17)*0.15</f>
        <v>1867.2926360000004</v>
      </c>
      <c r="R17" s="373">
        <f>$H$17-$L$17-Q17</f>
        <v>7539.3813824095996</v>
      </c>
      <c r="S17" s="373">
        <f t="shared" si="0"/>
        <v>28407.511632000002</v>
      </c>
      <c r="T17" s="376">
        <f>(S17-25000)*0.27+(25000-P17)*0.2</f>
        <v>2132.3599230400005</v>
      </c>
      <c r="U17" s="373">
        <f>$H$17-$L$17-T17</f>
        <v>7274.3140953695993</v>
      </c>
      <c r="V17" s="373">
        <f t="shared" si="1"/>
        <v>37876.682176000002</v>
      </c>
      <c r="W17" s="376">
        <f t="shared" si="2"/>
        <v>2556.6760468800003</v>
      </c>
      <c r="X17" s="373">
        <f>$H$17-$L$17-W17</f>
        <v>6849.9979715295995</v>
      </c>
      <c r="Y17" s="373">
        <f t="shared" si="3"/>
        <v>47345.852720000003</v>
      </c>
      <c r="Z17" s="376">
        <f t="shared" si="27"/>
        <v>2556.6760468800003</v>
      </c>
      <c r="AA17" s="373">
        <f>$H$17-$L$17-Z17</f>
        <v>6849.9979715295995</v>
      </c>
      <c r="AB17" s="373">
        <f t="shared" si="4"/>
        <v>56815.023264000003</v>
      </c>
      <c r="AC17" s="376">
        <f t="shared" si="28"/>
        <v>2556.6760468800003</v>
      </c>
      <c r="AD17" s="373">
        <f>$H$17-$L$17-AC17</f>
        <v>6849.9979715295995</v>
      </c>
      <c r="AE17" s="373">
        <f t="shared" si="5"/>
        <v>66284.193808000011</v>
      </c>
      <c r="AF17" s="376">
        <f>H17*0.27</f>
        <v>2556.6760468800003</v>
      </c>
      <c r="AG17" s="373">
        <f>$H$17-$L$17-AF17</f>
        <v>6849.9979715295995</v>
      </c>
      <c r="AH17" s="373">
        <f t="shared" si="6"/>
        <v>75753.364352000004</v>
      </c>
      <c r="AI17" s="376">
        <f>H17*0.27</f>
        <v>2556.6760468800003</v>
      </c>
      <c r="AJ17" s="373">
        <f>$H$17-$L$17-AI17</f>
        <v>6849.9979715295995</v>
      </c>
      <c r="AK17" s="373">
        <f t="shared" si="7"/>
        <v>85222.534895999997</v>
      </c>
      <c r="AL17" s="376">
        <f>H17*0.27</f>
        <v>2556.6760468800003</v>
      </c>
      <c r="AM17" s="373">
        <f>$H$17-$L$17-AL17</f>
        <v>6849.9979715295995</v>
      </c>
      <c r="AN17" s="373">
        <f t="shared" si="8"/>
        <v>94691.705440000005</v>
      </c>
      <c r="AO17" s="377">
        <f>(AN17-88000)*0.35+(88000-AK17)*0.27</f>
        <v>3092.0124820800024</v>
      </c>
      <c r="AP17" s="373">
        <f>$H$17-$L$17-AO17</f>
        <v>6314.6615363295969</v>
      </c>
      <c r="AQ17" s="373">
        <f t="shared" si="9"/>
        <v>104160.87598400001</v>
      </c>
      <c r="AR17" s="377">
        <f t="shared" si="18"/>
        <v>3314.2096904</v>
      </c>
      <c r="AS17" s="373">
        <f>$H$17-$L$17-AR17</f>
        <v>6092.4643280095997</v>
      </c>
      <c r="AT17" s="373">
        <f t="shared" si="10"/>
        <v>113630.04652800001</v>
      </c>
      <c r="AU17" s="377">
        <f t="shared" si="22"/>
        <v>3314.2096904</v>
      </c>
      <c r="AV17" s="373">
        <f>$H$17-$L$17-AU17</f>
        <v>6092.4643280095997</v>
      </c>
      <c r="AW17" s="371"/>
    </row>
    <row r="18" spans="1:49" s="233" customFormat="1" ht="30" customHeight="1" x14ac:dyDescent="0.45">
      <c r="A18" s="730"/>
      <c r="B18" s="368" t="s">
        <v>32</v>
      </c>
      <c r="C18" s="231">
        <v>450</v>
      </c>
      <c r="D18" s="234">
        <v>4996.0199999999995</v>
      </c>
      <c r="E18" s="234">
        <v>14988.06</v>
      </c>
      <c r="F18" s="234">
        <f t="shared" si="23"/>
        <v>19984.079999999998</v>
      </c>
      <c r="G18" s="233">
        <v>359</v>
      </c>
      <c r="H18" s="353">
        <f t="shared" si="20"/>
        <v>14394.247059999998</v>
      </c>
      <c r="I18" s="363">
        <v>0.7</v>
      </c>
      <c r="J18" s="362">
        <v>10016</v>
      </c>
      <c r="K18" s="361">
        <f t="shared" si="26"/>
        <v>10035.425225070663</v>
      </c>
      <c r="L18" s="372">
        <f t="shared" si="12"/>
        <v>95.002030595999983</v>
      </c>
      <c r="M18" s="373">
        <f t="shared" si="13"/>
        <v>14394.247059999998</v>
      </c>
      <c r="N18" s="374">
        <f t="shared" si="24"/>
        <v>2378.8494119999996</v>
      </c>
      <c r="O18" s="373">
        <f>$H$18-$L$18-N18</f>
        <v>11920.395617403998</v>
      </c>
      <c r="P18" s="373">
        <f t="shared" si="14"/>
        <v>28788.494119999996</v>
      </c>
      <c r="Q18" s="376">
        <f>(P18-25000)*0.27+(25000-M18)*0.2</f>
        <v>3144.0440003999993</v>
      </c>
      <c r="R18" s="373">
        <f>$H$18-$L$18-Q18</f>
        <v>11155.201029003998</v>
      </c>
      <c r="S18" s="373">
        <f t="shared" si="0"/>
        <v>43182.741179999997</v>
      </c>
      <c r="T18" s="376">
        <f>H18*0.27</f>
        <v>3886.4467061999999</v>
      </c>
      <c r="U18" s="373">
        <f>$H$18-$L$18-T18</f>
        <v>10412.798323203997</v>
      </c>
      <c r="V18" s="373">
        <f t="shared" si="1"/>
        <v>57576.988239999991</v>
      </c>
      <c r="W18" s="376">
        <f t="shared" si="2"/>
        <v>3886.4467061999999</v>
      </c>
      <c r="X18" s="373">
        <f>$H$18-$L$18-W18</f>
        <v>10412.798323203997</v>
      </c>
      <c r="Y18" s="373">
        <f t="shared" si="3"/>
        <v>71971.235299999986</v>
      </c>
      <c r="Z18" s="376">
        <f t="shared" si="27"/>
        <v>3886.4467061999999</v>
      </c>
      <c r="AA18" s="373">
        <f>$H$18-$L$18-Z18</f>
        <v>10412.798323203997</v>
      </c>
      <c r="AB18" s="373">
        <f t="shared" si="4"/>
        <v>86365.482359999995</v>
      </c>
      <c r="AC18" s="376">
        <f t="shared" si="28"/>
        <v>3886.4467061999999</v>
      </c>
      <c r="AD18" s="373">
        <f>$H$18-$L$18-AC18</f>
        <v>10412.798323203997</v>
      </c>
      <c r="AE18" s="373">
        <f t="shared" si="5"/>
        <v>100759.72941999999</v>
      </c>
      <c r="AF18" s="377">
        <f>(AE18-88000)*0.35+(88000-AB18)*0.27</f>
        <v>4907.2250597999973</v>
      </c>
      <c r="AG18" s="373">
        <f>$H$18-$L$18-AF18</f>
        <v>9392.0199696039999</v>
      </c>
      <c r="AH18" s="373">
        <f t="shared" si="6"/>
        <v>115153.97647999998</v>
      </c>
      <c r="AI18" s="377">
        <f>H18*0.35</f>
        <v>5037.9864709999993</v>
      </c>
      <c r="AJ18" s="373">
        <f>$H$18-$L$18-AI18</f>
        <v>9261.2585584039989</v>
      </c>
      <c r="AK18" s="373">
        <f t="shared" si="7"/>
        <v>129548.22353999998</v>
      </c>
      <c r="AL18" s="377">
        <f>H18*0.35</f>
        <v>5037.9864709999993</v>
      </c>
      <c r="AM18" s="373">
        <f>$H$18-$L$18-AL18</f>
        <v>9261.2585584039989</v>
      </c>
      <c r="AN18" s="373">
        <f t="shared" si="8"/>
        <v>143942.47059999997</v>
      </c>
      <c r="AO18" s="377">
        <f>H18*0.35</f>
        <v>5037.9864709999993</v>
      </c>
      <c r="AP18" s="373">
        <f>$H$18-$L$18-AO18</f>
        <v>9261.2585584039989</v>
      </c>
      <c r="AQ18" s="373">
        <f t="shared" si="9"/>
        <v>158336.71765999997</v>
      </c>
      <c r="AR18" s="377">
        <f t="shared" si="18"/>
        <v>5037.9864709999993</v>
      </c>
      <c r="AS18" s="373">
        <f>$H$18-$L$18-AR18</f>
        <v>9261.2585584039989</v>
      </c>
      <c r="AT18" s="373">
        <f t="shared" si="10"/>
        <v>172730.96471999999</v>
      </c>
      <c r="AU18" s="377">
        <f t="shared" si="22"/>
        <v>5037.9864709999993</v>
      </c>
      <c r="AV18" s="373">
        <f>$H$18-$L$18-AU18</f>
        <v>9261.2585584039989</v>
      </c>
      <c r="AW18" s="371"/>
    </row>
    <row r="19" spans="1:49" s="233" customFormat="1" ht="30" customHeight="1" x14ac:dyDescent="0.45">
      <c r="A19" s="730"/>
      <c r="B19" s="368" t="s">
        <v>237</v>
      </c>
      <c r="C19" s="231">
        <v>450</v>
      </c>
      <c r="D19" s="234">
        <v>4996.0199999999995</v>
      </c>
      <c r="E19" s="234">
        <v>14988.06</v>
      </c>
      <c r="F19" s="234">
        <f t="shared" si="23"/>
        <v>19984.079999999998</v>
      </c>
      <c r="G19" s="233">
        <v>359</v>
      </c>
      <c r="H19" s="353">
        <f t="shared" si="20"/>
        <v>13279.135395999998</v>
      </c>
      <c r="I19" s="363">
        <v>0.62</v>
      </c>
      <c r="J19" s="362">
        <v>9250</v>
      </c>
      <c r="K19" s="361">
        <f t="shared" si="26"/>
        <v>9317.9623804530656</v>
      </c>
      <c r="L19" s="372">
        <f t="shared" si="12"/>
        <v>87.642293613599989</v>
      </c>
      <c r="M19" s="373">
        <f t="shared" si="13"/>
        <v>13279.135395999998</v>
      </c>
      <c r="N19" s="374">
        <f t="shared" si="24"/>
        <v>2155.8270791999994</v>
      </c>
      <c r="O19" s="373">
        <f>$H$19-$L$19-N19</f>
        <v>11035.666023186397</v>
      </c>
      <c r="P19" s="373">
        <f t="shared" si="14"/>
        <v>26558.270791999996</v>
      </c>
      <c r="Q19" s="376">
        <f>(P19-25000)*0.27+(25000-M19)*0.2</f>
        <v>2764.9060346399992</v>
      </c>
      <c r="R19" s="373">
        <f>$H$19-$L$19-Q19</f>
        <v>10426.587067746397</v>
      </c>
      <c r="S19" s="373">
        <f t="shared" si="0"/>
        <v>39837.406187999994</v>
      </c>
      <c r="T19" s="376">
        <f>H19*0.27</f>
        <v>3585.3665569199998</v>
      </c>
      <c r="U19" s="373">
        <f>$H$19-$L$19-T19</f>
        <v>9606.1265454663971</v>
      </c>
      <c r="V19" s="373">
        <f t="shared" si="1"/>
        <v>53116.541583999991</v>
      </c>
      <c r="W19" s="376">
        <f t="shared" si="2"/>
        <v>3585.3665569199998</v>
      </c>
      <c r="X19" s="373">
        <f>$H$19-$L$19-W19</f>
        <v>9606.1265454663971</v>
      </c>
      <c r="Y19" s="373">
        <f t="shared" si="3"/>
        <v>66395.676979999989</v>
      </c>
      <c r="Z19" s="376">
        <f t="shared" si="27"/>
        <v>3585.3665569199998</v>
      </c>
      <c r="AA19" s="373">
        <f>$H$19-$L$19-Z19</f>
        <v>9606.1265454663971</v>
      </c>
      <c r="AB19" s="373">
        <f t="shared" si="4"/>
        <v>79674.812375999987</v>
      </c>
      <c r="AC19" s="376">
        <f t="shared" si="28"/>
        <v>3585.3665569199998</v>
      </c>
      <c r="AD19" s="373">
        <f>$H$19-$L$19-AC19</f>
        <v>9606.1265454663971</v>
      </c>
      <c r="AE19" s="373">
        <f t="shared" si="5"/>
        <v>92953.947771999985</v>
      </c>
      <c r="AF19" s="377">
        <f>(AE19-88000)*0.35+(88000-AB19)*0.27</f>
        <v>3981.6823786799982</v>
      </c>
      <c r="AG19" s="373">
        <f>$H$19-$L$19-AF19</f>
        <v>9209.8107237063996</v>
      </c>
      <c r="AH19" s="373">
        <f t="shared" si="6"/>
        <v>106233.08316799998</v>
      </c>
      <c r="AI19" s="377">
        <f>H19*0.35</f>
        <v>4647.6973885999987</v>
      </c>
      <c r="AJ19" s="373">
        <f>$H$19-$L$19-AI19</f>
        <v>8543.7957137863996</v>
      </c>
      <c r="AK19" s="373">
        <f t="shared" si="7"/>
        <v>119512.21856399998</v>
      </c>
      <c r="AL19" s="377">
        <f>H19*0.35</f>
        <v>4647.6973885999987</v>
      </c>
      <c r="AM19" s="373">
        <f>$H$19-$L$19-AL19</f>
        <v>8543.7957137863996</v>
      </c>
      <c r="AN19" s="373">
        <f t="shared" si="8"/>
        <v>132791.35395999998</v>
      </c>
      <c r="AO19" s="377">
        <f>H19*0.35</f>
        <v>4647.6973885999987</v>
      </c>
      <c r="AP19" s="373">
        <f>$H$19-$L$19-AO19</f>
        <v>8543.7957137863996</v>
      </c>
      <c r="AQ19" s="373">
        <f t="shared" si="9"/>
        <v>146070.48935599998</v>
      </c>
      <c r="AR19" s="377">
        <f t="shared" si="18"/>
        <v>4647.6973885999987</v>
      </c>
      <c r="AS19" s="373">
        <f>$H$19-$L$19-AR19</f>
        <v>8543.7957137863996</v>
      </c>
      <c r="AT19" s="373">
        <f t="shared" si="10"/>
        <v>159349.62475199997</v>
      </c>
      <c r="AU19" s="377">
        <f t="shared" si="22"/>
        <v>4647.6973885999987</v>
      </c>
      <c r="AV19" s="373">
        <f>$H$19-$L$19-AU19</f>
        <v>8543.7957137863996</v>
      </c>
      <c r="AW19" s="371"/>
    </row>
    <row r="20" spans="1:49" s="233" customFormat="1" ht="30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20"/>
        <v>10863.060124</v>
      </c>
      <c r="I20" s="363">
        <v>0.67</v>
      </c>
      <c r="J20" s="362">
        <v>7700</v>
      </c>
      <c r="K20" s="361">
        <f t="shared" si="26"/>
        <v>7763.4595504482668</v>
      </c>
      <c r="L20" s="372">
        <f t="shared" si="12"/>
        <v>71.696196818399997</v>
      </c>
      <c r="M20" s="373">
        <f t="shared" si="13"/>
        <v>10863.060124</v>
      </c>
      <c r="N20" s="374">
        <f t="shared" si="24"/>
        <v>1672.6120248</v>
      </c>
      <c r="O20" s="373">
        <f>$H$20-$L$20-N20</f>
        <v>9118.7519023815985</v>
      </c>
      <c r="P20" s="373">
        <f t="shared" si="14"/>
        <v>21726.120247999999</v>
      </c>
      <c r="Q20" s="374">
        <f>H20*0.2</f>
        <v>2172.6120248000002</v>
      </c>
      <c r="R20" s="373">
        <f>$H$20-$L$20-Q20</f>
        <v>8618.7519023815985</v>
      </c>
      <c r="S20" s="373">
        <f t="shared" si="0"/>
        <v>32589.180371999999</v>
      </c>
      <c r="T20" s="376">
        <f>(S20-25000)*0.27+(25000-P20)*0.2</f>
        <v>2703.85465084</v>
      </c>
      <c r="U20" s="373">
        <f>$H$20-$L$20-T20</f>
        <v>8087.5092763415996</v>
      </c>
      <c r="V20" s="373">
        <f t="shared" si="1"/>
        <v>43452.240495999999</v>
      </c>
      <c r="W20" s="376">
        <f t="shared" si="2"/>
        <v>2933.02623348</v>
      </c>
      <c r="X20" s="373">
        <f>$H$20-$L$20-W20</f>
        <v>7858.3376937015992</v>
      </c>
      <c r="Y20" s="373">
        <f t="shared" si="3"/>
        <v>54315.300619999995</v>
      </c>
      <c r="Z20" s="376">
        <f t="shared" si="27"/>
        <v>2933.02623348</v>
      </c>
      <c r="AA20" s="373">
        <f>$H$20-$L$20-Z20</f>
        <v>7858.3376937015992</v>
      </c>
      <c r="AB20" s="373">
        <f t="shared" si="4"/>
        <v>65178.360743999998</v>
      </c>
      <c r="AC20" s="376">
        <f t="shared" si="28"/>
        <v>2933.02623348</v>
      </c>
      <c r="AD20" s="373">
        <f>$H$20-$L$20-AC20</f>
        <v>7858.3376937015992</v>
      </c>
      <c r="AE20" s="373">
        <f t="shared" si="5"/>
        <v>76041.420868000001</v>
      </c>
      <c r="AF20" s="376">
        <f>H20*0.27</f>
        <v>2933.02623348</v>
      </c>
      <c r="AG20" s="373">
        <f>$H$20-$L$20-AF20</f>
        <v>7858.3376937015992</v>
      </c>
      <c r="AH20" s="373">
        <f t="shared" si="6"/>
        <v>86904.480991999997</v>
      </c>
      <c r="AI20" s="376">
        <f>H20*0.27</f>
        <v>2933.02623348</v>
      </c>
      <c r="AJ20" s="373">
        <f>$H$20-$L$20-AI20</f>
        <v>7858.3376937015992</v>
      </c>
      <c r="AK20" s="373">
        <f t="shared" si="7"/>
        <v>97767.541115999993</v>
      </c>
      <c r="AL20" s="377">
        <f>(AK20-88000)*0.35+(88000-AH20)*0.27</f>
        <v>3714.4295227599982</v>
      </c>
      <c r="AM20" s="373">
        <f>$H$20-$L$20-AL20</f>
        <v>7076.9344044216014</v>
      </c>
      <c r="AN20" s="373">
        <f t="shared" si="8"/>
        <v>108630.60123999999</v>
      </c>
      <c r="AO20" s="377">
        <f>H20*0.35</f>
        <v>3802.0710433999998</v>
      </c>
      <c r="AP20" s="373">
        <f>$H$20-$L$20-AO20</f>
        <v>6989.2928837815998</v>
      </c>
      <c r="AQ20" s="373">
        <f t="shared" si="9"/>
        <v>119493.661364</v>
      </c>
      <c r="AR20" s="377">
        <f t="shared" si="18"/>
        <v>3802.0710433999998</v>
      </c>
      <c r="AS20" s="373">
        <f>$H$20-$L$20-AR20</f>
        <v>6989.2928837815998</v>
      </c>
      <c r="AT20" s="373">
        <f t="shared" si="10"/>
        <v>130356.721488</v>
      </c>
      <c r="AU20" s="377">
        <f t="shared" si="22"/>
        <v>3802.0710433999998</v>
      </c>
      <c r="AV20" s="373">
        <f>$H$20-$L$20-AU20</f>
        <v>6989.2928837815998</v>
      </c>
      <c r="AW20" s="371"/>
    </row>
    <row r="21" spans="1:49" s="233" customFormat="1" ht="30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20"/>
        <v>10119.652348</v>
      </c>
      <c r="I21" s="363">
        <v>0.59</v>
      </c>
      <c r="J21" s="362">
        <v>7250</v>
      </c>
      <c r="K21" s="361">
        <f t="shared" si="26"/>
        <v>7285.150987369866</v>
      </c>
      <c r="L21" s="372">
        <f t="shared" si="12"/>
        <v>66.789705496799996</v>
      </c>
      <c r="M21" s="373">
        <f t="shared" si="13"/>
        <v>10119.652348</v>
      </c>
      <c r="N21" s="374">
        <f t="shared" si="24"/>
        <v>1523.9304695999999</v>
      </c>
      <c r="O21" s="373">
        <f>$H$21-$L$21-N21</f>
        <v>8528.9321729031999</v>
      </c>
      <c r="P21" s="373">
        <f t="shared" si="14"/>
        <v>20239.304695999999</v>
      </c>
      <c r="Q21" s="374">
        <f>H21*0.2</f>
        <v>2023.9304695999999</v>
      </c>
      <c r="R21" s="373">
        <f>$H$21-$L$21-Q21</f>
        <v>8028.9321729031999</v>
      </c>
      <c r="S21" s="373">
        <f t="shared" si="0"/>
        <v>30358.957043999999</v>
      </c>
      <c r="T21" s="376">
        <f>(S21-25000)*0.27+(25000-P21)*0.2</f>
        <v>2399.0574626799998</v>
      </c>
      <c r="U21" s="373">
        <f>$H$21-$L$21-T21</f>
        <v>7653.8051798232</v>
      </c>
      <c r="V21" s="373">
        <f t="shared" si="1"/>
        <v>40478.609391999998</v>
      </c>
      <c r="W21" s="376">
        <f t="shared" si="2"/>
        <v>2732.3061339599999</v>
      </c>
      <c r="X21" s="373">
        <f>$H$21-$L$21-W21</f>
        <v>7320.5565085431999</v>
      </c>
      <c r="Y21" s="373">
        <f t="shared" si="3"/>
        <v>50598.261740000002</v>
      </c>
      <c r="Z21" s="376">
        <f t="shared" si="27"/>
        <v>2732.3061339599999</v>
      </c>
      <c r="AA21" s="373">
        <f>$H$21-$L$21-Z21</f>
        <v>7320.5565085431999</v>
      </c>
      <c r="AB21" s="373">
        <f t="shared" si="4"/>
        <v>60717.914087999998</v>
      </c>
      <c r="AC21" s="376">
        <f t="shared" si="28"/>
        <v>2732.3061339599999</v>
      </c>
      <c r="AD21" s="373">
        <f>$H$21-$L$21-AC21</f>
        <v>7320.5565085431999</v>
      </c>
      <c r="AE21" s="373">
        <f t="shared" si="5"/>
        <v>70837.566435999994</v>
      </c>
      <c r="AF21" s="376">
        <f>H21*0.27</f>
        <v>2732.3061339599999</v>
      </c>
      <c r="AG21" s="373">
        <f>$H$21-$L$21-AF21</f>
        <v>7320.5565085431999</v>
      </c>
      <c r="AH21" s="373">
        <f t="shared" si="6"/>
        <v>80957.218783999997</v>
      </c>
      <c r="AI21" s="376">
        <f>H21*0.27</f>
        <v>2732.3061339599999</v>
      </c>
      <c r="AJ21" s="373">
        <f>$H$21-$L$21-AI21</f>
        <v>7320.5565085431999</v>
      </c>
      <c r="AK21" s="373">
        <f t="shared" si="7"/>
        <v>91076.871132</v>
      </c>
      <c r="AL21" s="377">
        <f>(AK21-88000)*0.35+(88000-AH21)*0.27</f>
        <v>2978.455824520001</v>
      </c>
      <c r="AM21" s="373">
        <f>$H$21-$L$21-AL21</f>
        <v>7074.4068179831993</v>
      </c>
      <c r="AN21" s="373">
        <f t="shared" si="8"/>
        <v>101196.52348</v>
      </c>
      <c r="AO21" s="377">
        <f>H21*0.35</f>
        <v>3541.8783217999999</v>
      </c>
      <c r="AP21" s="373">
        <f>$H$21-$L$21-AO21</f>
        <v>6510.9843207032</v>
      </c>
      <c r="AQ21" s="373">
        <f t="shared" si="9"/>
        <v>111316.17582799999</v>
      </c>
      <c r="AR21" s="377">
        <f t="shared" si="18"/>
        <v>3541.8783217999999</v>
      </c>
      <c r="AS21" s="373">
        <f>$H$21-$L$21-AR21</f>
        <v>6510.9843207032</v>
      </c>
      <c r="AT21" s="373">
        <f t="shared" si="10"/>
        <v>121435.828176</v>
      </c>
      <c r="AU21" s="377">
        <f t="shared" si="22"/>
        <v>3541.8783217999999</v>
      </c>
      <c r="AV21" s="373">
        <f>$H$21-$L$21-AU21</f>
        <v>6510.9843207032</v>
      </c>
      <c r="AW21" s="371"/>
    </row>
    <row r="22" spans="1:49" s="233" customFormat="1" ht="30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20"/>
        <v>9747.9484599999996</v>
      </c>
      <c r="I22" s="363">
        <v>0.55000000000000004</v>
      </c>
      <c r="J22" s="362">
        <v>7000</v>
      </c>
      <c r="K22" s="361">
        <f t="shared" si="26"/>
        <v>7045.9967058306638</v>
      </c>
      <c r="L22" s="372">
        <f t="shared" si="12"/>
        <v>64.336459836000003</v>
      </c>
      <c r="M22" s="373">
        <f t="shared" si="13"/>
        <v>9747.9484599999996</v>
      </c>
      <c r="N22" s="378">
        <f>M22*0.15</f>
        <v>1462.1922689999999</v>
      </c>
      <c r="O22" s="373">
        <f>$H$22-$L$22-N22</f>
        <v>8221.419731164</v>
      </c>
      <c r="P22" s="373">
        <f t="shared" si="14"/>
        <v>19495.896919999999</v>
      </c>
      <c r="Q22" s="374">
        <f>(P22-10000)*0.2+(10000-M22)*0.15</f>
        <v>1936.9871150000001</v>
      </c>
      <c r="R22" s="373">
        <f>$H$22-$L$22-Q22</f>
        <v>7746.6248851639994</v>
      </c>
      <c r="S22" s="373">
        <f t="shared" si="0"/>
        <v>29243.845379999999</v>
      </c>
      <c r="T22" s="376">
        <f>(S22-25000)*0.27+(25000-P22)*0.2</f>
        <v>2246.6588686</v>
      </c>
      <c r="U22" s="373">
        <f>$H$22-$L$22-T22</f>
        <v>7436.9531315639997</v>
      </c>
      <c r="V22" s="373">
        <f t="shared" si="1"/>
        <v>38991.793839999998</v>
      </c>
      <c r="W22" s="376">
        <f t="shared" si="2"/>
        <v>2631.9460841999999</v>
      </c>
      <c r="X22" s="373">
        <f>$H$22-$L$22-W22</f>
        <v>7051.6659159639994</v>
      </c>
      <c r="Y22" s="373">
        <f t="shared" si="3"/>
        <v>48739.742299999998</v>
      </c>
      <c r="Z22" s="376">
        <f t="shared" si="27"/>
        <v>2631.9460841999999</v>
      </c>
      <c r="AA22" s="373">
        <f>$H$22-$L$22-Z22</f>
        <v>7051.6659159639994</v>
      </c>
      <c r="AB22" s="373">
        <f t="shared" si="4"/>
        <v>58487.690759999998</v>
      </c>
      <c r="AC22" s="376">
        <f t="shared" si="28"/>
        <v>2631.9460841999999</v>
      </c>
      <c r="AD22" s="373">
        <f>$H$22-$L$22-AC22</f>
        <v>7051.6659159639994</v>
      </c>
      <c r="AE22" s="373">
        <f t="shared" si="5"/>
        <v>68235.639219999997</v>
      </c>
      <c r="AF22" s="376">
        <f>H22*0.27</f>
        <v>2631.9460841999999</v>
      </c>
      <c r="AG22" s="373">
        <f>$H$22-$L$22-AF22</f>
        <v>7051.6659159639994</v>
      </c>
      <c r="AH22" s="373">
        <f t="shared" si="6"/>
        <v>77983.587679999997</v>
      </c>
      <c r="AI22" s="376">
        <f>H22*0.27</f>
        <v>2631.9460841999999</v>
      </c>
      <c r="AJ22" s="373">
        <f>$H$22-$L$22-AI22</f>
        <v>7051.6659159639994</v>
      </c>
      <c r="AK22" s="373">
        <f t="shared" si="7"/>
        <v>87731.536139999997</v>
      </c>
      <c r="AL22" s="377">
        <f>(AK22-88000)*0.35+(88000-AH22)*0.27</f>
        <v>2610.4689754000001</v>
      </c>
      <c r="AM22" s="373">
        <f>$H$22-$L$22-AL22</f>
        <v>7073.1430247639992</v>
      </c>
      <c r="AN22" s="373">
        <f t="shared" si="8"/>
        <v>97479.484599999996</v>
      </c>
      <c r="AO22" s="377">
        <f>H22*0.35</f>
        <v>3411.7819609999997</v>
      </c>
      <c r="AP22" s="373">
        <f>$H$22-$L$22-AO22</f>
        <v>6271.8300391639996</v>
      </c>
      <c r="AQ22" s="373">
        <f t="shared" si="9"/>
        <v>107227.43306</v>
      </c>
      <c r="AR22" s="377">
        <f t="shared" si="18"/>
        <v>3411.7819609999997</v>
      </c>
      <c r="AS22" s="373">
        <f>$H$22-$L$22-AR22</f>
        <v>6271.8300391639996</v>
      </c>
      <c r="AT22" s="373">
        <f t="shared" si="10"/>
        <v>116975.38152</v>
      </c>
      <c r="AU22" s="377">
        <f t="shared" si="22"/>
        <v>3411.7819609999997</v>
      </c>
      <c r="AV22" s="373">
        <f>$H$22-$L$22-AU22</f>
        <v>6271.8300391639996</v>
      </c>
      <c r="AW22" s="371"/>
    </row>
    <row r="23" spans="1:49" s="233" customFormat="1" ht="30" customHeight="1" x14ac:dyDescent="0.45">
      <c r="A23" s="730"/>
      <c r="B23" s="368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20"/>
        <v>7610.6511039999996</v>
      </c>
      <c r="I23" s="363">
        <v>0.32</v>
      </c>
      <c r="J23" s="362">
        <v>5655</v>
      </c>
      <c r="K23" s="361">
        <f t="shared" si="26"/>
        <v>5699.4118393536</v>
      </c>
      <c r="L23" s="372">
        <f t="shared" si="12"/>
        <v>50.230297286399995</v>
      </c>
      <c r="M23" s="373">
        <f t="shared" si="13"/>
        <v>7610.6511039999996</v>
      </c>
      <c r="N23" s="378">
        <f>M23*0.15</f>
        <v>1141.5976655999998</v>
      </c>
      <c r="O23" s="373">
        <f>$H$23-$L$23-N23</f>
        <v>6418.8231411136003</v>
      </c>
      <c r="P23" s="373">
        <f t="shared" si="14"/>
        <v>15221.302207999999</v>
      </c>
      <c r="Q23" s="374">
        <f>(P23-10000)*0.2+(10000-M23)*0.15</f>
        <v>1402.6627759999999</v>
      </c>
      <c r="R23" s="373">
        <f>$H$23-$L$23-Q23</f>
        <v>6157.7580307135995</v>
      </c>
      <c r="S23" s="373">
        <f t="shared" si="0"/>
        <v>22831.953311999998</v>
      </c>
      <c r="T23" s="376">
        <f>(S23-25000)*0.27+(25000-P23)*0.2</f>
        <v>1370.3669526399997</v>
      </c>
      <c r="U23" s="373">
        <f>$H$23-$L$23-T23</f>
        <v>6190.0538540735997</v>
      </c>
      <c r="V23" s="373">
        <f t="shared" si="1"/>
        <v>30442.604415999998</v>
      </c>
      <c r="W23" s="376">
        <f t="shared" si="2"/>
        <v>2054.8757980800001</v>
      </c>
      <c r="X23" s="373">
        <f>$H$23-$L$23-W23</f>
        <v>5505.5450086335995</v>
      </c>
      <c r="Y23" s="373">
        <f t="shared" si="3"/>
        <v>38053.255519999999</v>
      </c>
      <c r="Z23" s="376">
        <f t="shared" si="27"/>
        <v>2054.8757980800001</v>
      </c>
      <c r="AA23" s="373">
        <f>$H$23-$L$23-Z23</f>
        <v>5505.5450086335995</v>
      </c>
      <c r="AB23" s="373">
        <f t="shared" si="4"/>
        <v>45663.906623999996</v>
      </c>
      <c r="AC23" s="376">
        <f t="shared" si="28"/>
        <v>2054.8757980800001</v>
      </c>
      <c r="AD23" s="373">
        <f>$H$23-$L$23-AC23</f>
        <v>5505.5450086335995</v>
      </c>
      <c r="AE23" s="373">
        <f t="shared" si="5"/>
        <v>53274.557728</v>
      </c>
      <c r="AF23" s="376">
        <f t="shared" ref="AF23:AF26" si="29">H23*0.27</f>
        <v>2054.8757980800001</v>
      </c>
      <c r="AG23" s="373">
        <f>$H$23-$L$23-AF23</f>
        <v>5505.5450086335995</v>
      </c>
      <c r="AH23" s="373">
        <f t="shared" si="6"/>
        <v>60885.208831999997</v>
      </c>
      <c r="AI23" s="376">
        <f>H23*0.27</f>
        <v>2054.8757980800001</v>
      </c>
      <c r="AJ23" s="373">
        <f>$H$23-$L$23-AI23</f>
        <v>5505.5450086335995</v>
      </c>
      <c r="AK23" s="373">
        <f t="shared" si="7"/>
        <v>68495.859935999993</v>
      </c>
      <c r="AL23" s="376">
        <f>H23*0.27</f>
        <v>2054.8757980800001</v>
      </c>
      <c r="AM23" s="373">
        <f>$H$23-$L$23-AL23</f>
        <v>5505.5450086335995</v>
      </c>
      <c r="AN23" s="373">
        <f t="shared" si="8"/>
        <v>76106.511039999998</v>
      </c>
      <c r="AO23" s="376">
        <f>H23*0.27</f>
        <v>2054.8757980800001</v>
      </c>
      <c r="AP23" s="373">
        <f>$H$23-$L$23-AO23</f>
        <v>5505.5450086335995</v>
      </c>
      <c r="AQ23" s="373">
        <f t="shared" si="9"/>
        <v>83717.162144000002</v>
      </c>
      <c r="AR23" s="377">
        <f>(AQ23-88000)*0.35+(88000-AN23)*0.27</f>
        <v>1712.2487696000017</v>
      </c>
      <c r="AS23" s="373">
        <f>$H$23-$L$23-AR23</f>
        <v>5848.172037113598</v>
      </c>
      <c r="AT23" s="373">
        <f t="shared" si="10"/>
        <v>91327.813247999991</v>
      </c>
      <c r="AU23" s="377">
        <f>(AT23-88000)*0.35+(88000-AQ23)*0.27</f>
        <v>2321.1008579199965</v>
      </c>
      <c r="AV23" s="373">
        <f>$H$23-$L$23-AU23</f>
        <v>5239.3199487936035</v>
      </c>
      <c r="AW23" s="371"/>
    </row>
    <row r="24" spans="1:49" s="233" customFormat="1" ht="30" customHeight="1" x14ac:dyDescent="0.45">
      <c r="A24" s="731" t="s">
        <v>172</v>
      </c>
      <c r="B24" s="348" t="s">
        <v>219</v>
      </c>
      <c r="C24" s="317">
        <v>125</v>
      </c>
      <c r="D24" s="238">
        <v>3330.68</v>
      </c>
      <c r="E24" s="238">
        <v>4163.3499999999995</v>
      </c>
      <c r="F24" s="238">
        <f t="shared" ref="F24:F26" si="30">D24+E24</f>
        <v>7494.0299999999988</v>
      </c>
      <c r="G24" s="233">
        <v>359</v>
      </c>
      <c r="H24" s="353">
        <f t="shared" si="20"/>
        <v>6688.7188799999994</v>
      </c>
      <c r="I24" s="363">
        <v>0.96</v>
      </c>
      <c r="J24" s="362">
        <v>5000</v>
      </c>
      <c r="K24" s="361">
        <f t="shared" si="26"/>
        <v>5026.1192377920006</v>
      </c>
      <c r="L24" s="372">
        <f t="shared" si="12"/>
        <v>44.145544607999994</v>
      </c>
      <c r="M24" s="373">
        <f t="shared" si="13"/>
        <v>6688.7188799999994</v>
      </c>
      <c r="N24" s="378">
        <f t="shared" ref="N24:N27" si="31">M24*0.15</f>
        <v>1003.3078319999998</v>
      </c>
      <c r="O24" s="373">
        <f>$H$24-$L$24-N24</f>
        <v>5641.265503392</v>
      </c>
      <c r="P24" s="373">
        <f t="shared" si="14"/>
        <v>13377.437759999999</v>
      </c>
      <c r="Q24" s="374">
        <f>(P24-10000)*0.2+(10000-M24)*0.15</f>
        <v>1172.1797199999999</v>
      </c>
      <c r="R24" s="373">
        <f>$H$24-$L$24-Q24</f>
        <v>5472.3936153919994</v>
      </c>
      <c r="S24" s="373">
        <f t="shared" si="0"/>
        <v>20066.156639999997</v>
      </c>
      <c r="T24" s="374">
        <f>H24*0.2</f>
        <v>1337.743776</v>
      </c>
      <c r="U24" s="373">
        <f>$H$24-$L$24-T24</f>
        <v>5306.8295593919993</v>
      </c>
      <c r="V24" s="373">
        <f t="shared" si="1"/>
        <v>26754.875519999998</v>
      </c>
      <c r="W24" s="376">
        <f>(V24-25000)*0.27+(25000-S24)*0.2</f>
        <v>1460.5850624</v>
      </c>
      <c r="X24" s="373">
        <f>$H$24-$L$24-W24</f>
        <v>5183.9882729919991</v>
      </c>
      <c r="Y24" s="373">
        <f t="shared" si="3"/>
        <v>33443.594399999994</v>
      </c>
      <c r="Z24" s="376">
        <f t="shared" si="27"/>
        <v>1805.9540976000001</v>
      </c>
      <c r="AA24" s="373">
        <f>$H$24-$L$24-Z24</f>
        <v>4838.6192377919997</v>
      </c>
      <c r="AB24" s="373">
        <f t="shared" si="4"/>
        <v>40132.313279999995</v>
      </c>
      <c r="AC24" s="376">
        <f t="shared" si="28"/>
        <v>1805.9540976000001</v>
      </c>
      <c r="AD24" s="373">
        <f>$H$24-$L$24-AC24</f>
        <v>4838.6192377919997</v>
      </c>
      <c r="AE24" s="373">
        <f t="shared" si="5"/>
        <v>46821.032159999995</v>
      </c>
      <c r="AF24" s="376">
        <f t="shared" si="29"/>
        <v>1805.9540976000001</v>
      </c>
      <c r="AG24" s="373">
        <f>$H$24-$L$24-AF24</f>
        <v>4838.6192377919997</v>
      </c>
      <c r="AH24" s="373">
        <f t="shared" si="6"/>
        <v>53509.751039999996</v>
      </c>
      <c r="AI24" s="376">
        <f>H24*0.27</f>
        <v>1805.9540976000001</v>
      </c>
      <c r="AJ24" s="373">
        <f>$H$24-$L$24-AI24</f>
        <v>4838.6192377919997</v>
      </c>
      <c r="AK24" s="373">
        <f t="shared" si="7"/>
        <v>60198.469919999996</v>
      </c>
      <c r="AL24" s="376">
        <f>H24*0.27</f>
        <v>1805.9540976000001</v>
      </c>
      <c r="AM24" s="373">
        <f>$H$24-$L$24-AL24</f>
        <v>4838.6192377919997</v>
      </c>
      <c r="AN24" s="373">
        <f t="shared" si="8"/>
        <v>66887.188799999989</v>
      </c>
      <c r="AO24" s="376">
        <f>H24*0.27</f>
        <v>1805.9540976000001</v>
      </c>
      <c r="AP24" s="373">
        <f>$H$24-$L$24-AO24</f>
        <v>4838.6192377919997</v>
      </c>
      <c r="AQ24" s="373">
        <f t="shared" si="9"/>
        <v>73575.907679999989</v>
      </c>
      <c r="AR24" s="376">
        <f>H24*0.27</f>
        <v>1805.9540976000001</v>
      </c>
      <c r="AS24" s="373">
        <f>$H$24-$L$24-AR24</f>
        <v>4838.6192377919997</v>
      </c>
      <c r="AT24" s="373">
        <f t="shared" si="10"/>
        <v>80264.62655999999</v>
      </c>
      <c r="AU24" s="376">
        <f>H24*0.27</f>
        <v>1805.9540976000001</v>
      </c>
      <c r="AV24" s="373">
        <f>$H$24-$L$24-AU24</f>
        <v>4838.6192377919997</v>
      </c>
      <c r="AW24" s="371"/>
    </row>
    <row r="25" spans="1:49" s="233" customFormat="1" ht="30" customHeight="1" x14ac:dyDescent="0.45">
      <c r="A25" s="732"/>
      <c r="B25" s="367" t="s">
        <v>241</v>
      </c>
      <c r="C25" s="235">
        <v>125</v>
      </c>
      <c r="D25" s="234">
        <v>3330.68</v>
      </c>
      <c r="E25" s="234">
        <v>4163.3499999999995</v>
      </c>
      <c r="F25" s="234">
        <f t="shared" si="30"/>
        <v>7494.0299999999988</v>
      </c>
      <c r="G25" s="233">
        <v>278</v>
      </c>
      <c r="H25" s="353">
        <f t="shared" si="20"/>
        <v>5995.3357799999994</v>
      </c>
      <c r="I25" s="363">
        <v>0.76</v>
      </c>
      <c r="J25" s="362">
        <v>4500</v>
      </c>
      <c r="K25" s="361">
        <f t="shared" si="26"/>
        <v>4524.525903251998</v>
      </c>
      <c r="L25" s="372">
        <f t="shared" si="12"/>
        <v>39.569216147999995</v>
      </c>
      <c r="M25" s="373">
        <f t="shared" si="13"/>
        <v>5995.3357799999994</v>
      </c>
      <c r="N25" s="378">
        <f t="shared" si="31"/>
        <v>899.30036699999994</v>
      </c>
      <c r="O25" s="373">
        <f>H25-L25-N25</f>
        <v>5056.4661968519995</v>
      </c>
      <c r="P25" s="373">
        <f t="shared" si="14"/>
        <v>11990.671559999999</v>
      </c>
      <c r="Q25" s="374">
        <f t="shared" ref="Q25:Q26" si="32">(P25-10000)*0.2+(10000-M25)*0.15</f>
        <v>998.83394499999986</v>
      </c>
      <c r="R25" s="373">
        <f>H25-L25-Q25</f>
        <v>4956.932618851999</v>
      </c>
      <c r="S25" s="373">
        <f t="shared" si="0"/>
        <v>17986.007339999996</v>
      </c>
      <c r="T25" s="374">
        <f t="shared" ref="T25:T26" si="33">H25*0.2</f>
        <v>1199.0671559999998</v>
      </c>
      <c r="U25" s="373">
        <f>H25-L25-T25</f>
        <v>4756.6994078519992</v>
      </c>
      <c r="V25" s="373">
        <f t="shared" si="1"/>
        <v>23981.343119999998</v>
      </c>
      <c r="W25" s="374">
        <f>H25*0.2</f>
        <v>1199.0671559999998</v>
      </c>
      <c r="X25" s="373">
        <f>H25-L25-W25</f>
        <v>4756.6994078519992</v>
      </c>
      <c r="Y25" s="373">
        <f t="shared" si="3"/>
        <v>29976.678899999999</v>
      </c>
      <c r="Z25" s="376">
        <f>(Y25-25000)*0.27+(25000-V25)*0.2</f>
        <v>1547.4346790000002</v>
      </c>
      <c r="AA25" s="373">
        <f>H25-L25-Z25</f>
        <v>4408.3318848519993</v>
      </c>
      <c r="AB25" s="373">
        <f t="shared" si="4"/>
        <v>35972.014679999993</v>
      </c>
      <c r="AC25" s="376">
        <f t="shared" si="28"/>
        <v>1618.7406606</v>
      </c>
      <c r="AD25" s="373">
        <f>H25-L25-AC25</f>
        <v>4337.0259032519989</v>
      </c>
      <c r="AE25" s="373">
        <f t="shared" si="5"/>
        <v>41967.350459999994</v>
      </c>
      <c r="AF25" s="376">
        <f t="shared" si="29"/>
        <v>1618.7406606</v>
      </c>
      <c r="AG25" s="373">
        <f>H25-L25-AF25</f>
        <v>4337.0259032519989</v>
      </c>
      <c r="AH25" s="373">
        <f t="shared" si="6"/>
        <v>47962.686239999995</v>
      </c>
      <c r="AI25" s="376">
        <f t="shared" ref="AI25:AI26" si="34">H25*0.27</f>
        <v>1618.7406606</v>
      </c>
      <c r="AJ25" s="373">
        <f>H25-L25-AI25</f>
        <v>4337.0259032519989</v>
      </c>
      <c r="AK25" s="373">
        <f t="shared" si="7"/>
        <v>53958.022019999997</v>
      </c>
      <c r="AL25" s="376">
        <f>H25*0.27</f>
        <v>1618.7406606</v>
      </c>
      <c r="AM25" s="373">
        <f>H25-L25-AL25</f>
        <v>4337.0259032519989</v>
      </c>
      <c r="AN25" s="373">
        <f t="shared" si="8"/>
        <v>59953.357799999998</v>
      </c>
      <c r="AO25" s="376">
        <f>H25*0.27</f>
        <v>1618.7406606</v>
      </c>
      <c r="AP25" s="373">
        <f>H25-L25-$AO$25</f>
        <v>4337.0259032519989</v>
      </c>
      <c r="AQ25" s="373">
        <f t="shared" si="9"/>
        <v>65948.693579999992</v>
      </c>
      <c r="AR25" s="376">
        <f>H25*0.27</f>
        <v>1618.7406606</v>
      </c>
      <c r="AS25" s="373">
        <f>H25-L25-AR25</f>
        <v>4337.0259032519989</v>
      </c>
      <c r="AT25" s="373">
        <f t="shared" si="10"/>
        <v>71944.029359999986</v>
      </c>
      <c r="AU25" s="376">
        <f t="shared" ref="AU25:AU26" si="35">H25*0.27</f>
        <v>1618.7406606</v>
      </c>
      <c r="AV25" s="373">
        <f>H25-L25-AU25</f>
        <v>4337.0259032519989</v>
      </c>
      <c r="AW25" s="371"/>
    </row>
    <row r="26" spans="1:49" s="233" customFormat="1" ht="30" customHeight="1" x14ac:dyDescent="0.45">
      <c r="A26" s="733"/>
      <c r="B26" s="348" t="s">
        <v>198</v>
      </c>
      <c r="C26" s="317">
        <v>125</v>
      </c>
      <c r="D26" s="238">
        <v>3330.68</v>
      </c>
      <c r="E26" s="238">
        <v>4163.3499999999995</v>
      </c>
      <c r="F26" s="238">
        <f t="shared" si="30"/>
        <v>7494.0299999999988</v>
      </c>
      <c r="G26" s="233">
        <v>278</v>
      </c>
      <c r="H26" s="353">
        <f t="shared" si="20"/>
        <v>5298.3909899999999</v>
      </c>
      <c r="I26" s="363">
        <v>0.57999999999999996</v>
      </c>
      <c r="J26" s="362">
        <v>4000</v>
      </c>
      <c r="K26" s="361">
        <f t="shared" si="26"/>
        <v>4004.6747843909998</v>
      </c>
      <c r="L26" s="372">
        <f t="shared" si="12"/>
        <v>34.969380533999995</v>
      </c>
      <c r="M26" s="373">
        <f t="shared" si="13"/>
        <v>5298.3909899999999</v>
      </c>
      <c r="N26" s="378">
        <f t="shared" si="31"/>
        <v>794.75864849999994</v>
      </c>
      <c r="O26" s="373">
        <f t="shared" ref="O26:O53" si="36">H26-L26-N26</f>
        <v>4468.6629609659994</v>
      </c>
      <c r="P26" s="373">
        <f t="shared" si="14"/>
        <v>10596.78198</v>
      </c>
      <c r="Q26" s="374">
        <f t="shared" si="32"/>
        <v>824.59774749999997</v>
      </c>
      <c r="R26" s="373">
        <f t="shared" ref="R26:R53" si="37">H26-L26-Q26</f>
        <v>4438.8238619659996</v>
      </c>
      <c r="S26" s="373">
        <f t="shared" si="0"/>
        <v>15895.17297</v>
      </c>
      <c r="T26" s="374">
        <f t="shared" si="33"/>
        <v>1059.6781980000001</v>
      </c>
      <c r="U26" s="373">
        <f t="shared" ref="U26:U53" si="38">H26-L26-T26</f>
        <v>4203.7434114659991</v>
      </c>
      <c r="V26" s="373">
        <f t="shared" si="1"/>
        <v>21193.563959999999</v>
      </c>
      <c r="W26" s="374">
        <f>H26*0.2</f>
        <v>1059.6781980000001</v>
      </c>
      <c r="X26" s="373">
        <f t="shared" ref="X26:X53" si="39">H26-L26-W26</f>
        <v>4203.7434114659991</v>
      </c>
      <c r="Y26" s="373">
        <f t="shared" si="3"/>
        <v>26491.954949999999</v>
      </c>
      <c r="Z26" s="376">
        <f>(Y26-25000)*0.27+(25000-V26)*0.2</f>
        <v>1164.1150445000001</v>
      </c>
      <c r="AA26" s="373">
        <f t="shared" ref="AA26:AA53" si="40">H26-L26-Z26</f>
        <v>4099.3065649659993</v>
      </c>
      <c r="AB26" s="373">
        <f t="shared" si="4"/>
        <v>31790.345939999999</v>
      </c>
      <c r="AC26" s="376">
        <f t="shared" si="28"/>
        <v>1430.5655673000001</v>
      </c>
      <c r="AD26" s="373">
        <f t="shared" ref="AD26:AD53" si="41">H26-L26-AC26</f>
        <v>3832.8560421659995</v>
      </c>
      <c r="AE26" s="373">
        <f t="shared" si="5"/>
        <v>37088.736929999999</v>
      </c>
      <c r="AF26" s="376">
        <f t="shared" si="29"/>
        <v>1430.5655673000001</v>
      </c>
      <c r="AG26" s="373">
        <f t="shared" ref="AG26:AG53" si="42">H26-L26-AF26</f>
        <v>3832.8560421659995</v>
      </c>
      <c r="AH26" s="373">
        <f t="shared" si="6"/>
        <v>42387.127919999999</v>
      </c>
      <c r="AI26" s="376">
        <f t="shared" si="34"/>
        <v>1430.5655673000001</v>
      </c>
      <c r="AJ26" s="373">
        <f t="shared" ref="AJ26:AJ53" si="43">H26-L26-AI26</f>
        <v>3832.8560421659995</v>
      </c>
      <c r="AK26" s="373">
        <f t="shared" si="7"/>
        <v>47685.518909999999</v>
      </c>
      <c r="AL26" s="376">
        <f t="shared" ref="AL26" si="44">H26*0.27</f>
        <v>1430.5655673000001</v>
      </c>
      <c r="AM26" s="373">
        <f t="shared" ref="AM26:AM53" si="45">H26-L26-AL26</f>
        <v>3832.8560421659995</v>
      </c>
      <c r="AN26" s="373">
        <f t="shared" si="8"/>
        <v>52983.909899999999</v>
      </c>
      <c r="AO26" s="376">
        <f>H26*0.27</f>
        <v>1430.5655673000001</v>
      </c>
      <c r="AP26" s="373">
        <f t="shared" ref="AP26:AP53" si="46">H26-L26-$AO$25</f>
        <v>3644.6809488659997</v>
      </c>
      <c r="AQ26" s="373">
        <f t="shared" si="9"/>
        <v>58282.300889999999</v>
      </c>
      <c r="AR26" s="376">
        <f>H26*0.27</f>
        <v>1430.5655673000001</v>
      </c>
      <c r="AS26" s="373">
        <f t="shared" ref="AS26:AS53" si="47">H26-L26-AR26</f>
        <v>3832.8560421659995</v>
      </c>
      <c r="AT26" s="373">
        <f t="shared" si="10"/>
        <v>63580.691879999998</v>
      </c>
      <c r="AU26" s="376">
        <f t="shared" si="35"/>
        <v>1430.5655673000001</v>
      </c>
      <c r="AV26" s="373">
        <f t="shared" ref="AV26:AV53" si="48">H26-L26-AU26</f>
        <v>3832.8560421659995</v>
      </c>
      <c r="AW26" s="371"/>
    </row>
    <row r="27" spans="1:49" s="233" customFormat="1" ht="28.5" x14ac:dyDescent="0.45">
      <c r="A27" s="725" t="s">
        <v>171</v>
      </c>
      <c r="B27" s="725"/>
      <c r="C27" s="235">
        <v>50</v>
      </c>
      <c r="D27" s="234">
        <v>1665.34</v>
      </c>
      <c r="E27" s="234">
        <v>1665.34</v>
      </c>
      <c r="F27" s="234">
        <f>D27+E27</f>
        <v>3330.68</v>
      </c>
      <c r="G27" s="233">
        <v>278</v>
      </c>
      <c r="H27" s="353">
        <f t="shared" si="20"/>
        <v>2363.0627059999997</v>
      </c>
      <c r="I27" s="363">
        <v>0.63</v>
      </c>
      <c r="J27" s="362">
        <v>1795</v>
      </c>
      <c r="K27" s="361">
        <f t="shared" si="26"/>
        <v>1801.428884903733</v>
      </c>
      <c r="L27" s="372">
        <f t="shared" si="12"/>
        <v>15.596213859599999</v>
      </c>
      <c r="M27" s="373">
        <f t="shared" si="13"/>
        <v>2363.0627059999997</v>
      </c>
      <c r="N27" s="378">
        <f t="shared" si="31"/>
        <v>354.45940589999992</v>
      </c>
      <c r="O27" s="373">
        <f t="shared" si="36"/>
        <v>1993.0070862403998</v>
      </c>
      <c r="P27" s="373">
        <f t="shared" si="14"/>
        <v>4726.1254119999994</v>
      </c>
      <c r="Q27" s="378">
        <f>H27*0.15</f>
        <v>354.45940589999992</v>
      </c>
      <c r="R27" s="373">
        <f t="shared" si="37"/>
        <v>1993.0070862403998</v>
      </c>
      <c r="S27" s="373">
        <f t="shared" si="0"/>
        <v>7089.1881179999991</v>
      </c>
      <c r="T27" s="378">
        <f>H27*0.15</f>
        <v>354.45940589999992</v>
      </c>
      <c r="U27" s="373">
        <f t="shared" si="38"/>
        <v>1993.0070862403998</v>
      </c>
      <c r="V27" s="373">
        <f t="shared" si="1"/>
        <v>9452.2508239999988</v>
      </c>
      <c r="W27" s="378">
        <f>H27*0.15</f>
        <v>354.45940589999992</v>
      </c>
      <c r="X27" s="373">
        <f t="shared" si="39"/>
        <v>1993.0070862403998</v>
      </c>
      <c r="Y27" s="373">
        <f t="shared" si="3"/>
        <v>11815.313529999999</v>
      </c>
      <c r="Z27" s="374">
        <f>(Y27-10000)*0.2+(10000-V27)*0.15</f>
        <v>445.22508240000013</v>
      </c>
      <c r="AA27" s="373">
        <f t="shared" si="40"/>
        <v>1902.2414097403994</v>
      </c>
      <c r="AB27" s="373">
        <f t="shared" si="4"/>
        <v>14178.376235999998</v>
      </c>
      <c r="AC27" s="374">
        <f>H27*0.2</f>
        <v>472.61254119999995</v>
      </c>
      <c r="AD27" s="373">
        <f t="shared" si="41"/>
        <v>1874.8539509403997</v>
      </c>
      <c r="AE27" s="373">
        <f t="shared" si="5"/>
        <v>16541.438941999997</v>
      </c>
      <c r="AF27" s="374">
        <f>H27*0.2</f>
        <v>472.61254119999995</v>
      </c>
      <c r="AG27" s="373">
        <f t="shared" si="42"/>
        <v>1874.8539509403997</v>
      </c>
      <c r="AH27" s="373">
        <f t="shared" si="6"/>
        <v>18904.501647999998</v>
      </c>
      <c r="AI27" s="374">
        <f>H27*0.2</f>
        <v>472.61254119999995</v>
      </c>
      <c r="AJ27" s="373">
        <f t="shared" si="43"/>
        <v>1874.8539509403997</v>
      </c>
      <c r="AK27" s="373">
        <f t="shared" si="7"/>
        <v>21267.564353999998</v>
      </c>
      <c r="AL27" s="374">
        <f>H27*0.2</f>
        <v>472.61254119999995</v>
      </c>
      <c r="AM27" s="373">
        <f t="shared" si="45"/>
        <v>1874.8539509403997</v>
      </c>
      <c r="AN27" s="373">
        <f t="shared" si="8"/>
        <v>23630.627059999999</v>
      </c>
      <c r="AO27" s="374">
        <f>H27*0.2</f>
        <v>472.61254119999995</v>
      </c>
      <c r="AP27" s="373">
        <f t="shared" si="46"/>
        <v>728.72583154039967</v>
      </c>
      <c r="AQ27" s="373">
        <f t="shared" si="9"/>
        <v>25993.689765999996</v>
      </c>
      <c r="AR27" s="376">
        <f>(AQ27-25000)*0.27+(25000-AN27)*0.2</f>
        <v>542.1708248199991</v>
      </c>
      <c r="AS27" s="373">
        <f t="shared" si="47"/>
        <v>1805.2956673204005</v>
      </c>
      <c r="AT27" s="373">
        <f t="shared" si="10"/>
        <v>28356.752471999996</v>
      </c>
      <c r="AU27" s="376">
        <f>H27*0.27</f>
        <v>638.02693061999992</v>
      </c>
      <c r="AV27" s="373">
        <f t="shared" si="48"/>
        <v>1709.4395615203998</v>
      </c>
      <c r="AW27" s="371"/>
    </row>
    <row r="28" spans="1:49" s="345" customFormat="1" ht="28.5" x14ac:dyDescent="0.45">
      <c r="A28" s="343"/>
      <c r="B28" s="349"/>
      <c r="C28" s="344"/>
      <c r="D28" s="344"/>
      <c r="E28" s="344"/>
      <c r="F28" s="344"/>
      <c r="G28" s="233"/>
      <c r="H28" s="357">
        <v>1</v>
      </c>
      <c r="I28" s="363"/>
      <c r="J28" s="233"/>
      <c r="K28" s="361"/>
      <c r="L28" s="372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5"/>
    </row>
    <row r="29" spans="1:49" ht="28.5" x14ac:dyDescent="0.45">
      <c r="A29" s="716" t="s">
        <v>28</v>
      </c>
      <c r="B29" s="347" t="s">
        <v>215</v>
      </c>
      <c r="C29" s="283">
        <v>600</v>
      </c>
      <c r="D29" s="238">
        <v>4996.0199999999995</v>
      </c>
      <c r="E29" s="238">
        <v>19984.079999999998</v>
      </c>
      <c r="F29" s="238">
        <f t="shared" ref="F29:F53" si="49">D29+E29</f>
        <v>24980.1</v>
      </c>
      <c r="G29" s="233">
        <v>359</v>
      </c>
      <c r="H29" s="353">
        <f>D29+E29*$H$28*$I29-G29</f>
        <v>18625.875999999997</v>
      </c>
      <c r="I29" s="363">
        <v>0.7</v>
      </c>
      <c r="J29" s="362">
        <v>12500</v>
      </c>
      <c r="K29" s="361">
        <f t="shared" si="26"/>
        <v>13166.414946683333</v>
      </c>
      <c r="L29" s="372">
        <f t="shared" si="12"/>
        <v>122.93078159999997</v>
      </c>
      <c r="M29" s="373">
        <f t="shared" si="13"/>
        <v>18625.875999999997</v>
      </c>
      <c r="N29" s="374">
        <f t="shared" ref="N29:N42" si="50">(M29-10000)*0.2+10000*0.15</f>
        <v>3225.1751999999997</v>
      </c>
      <c r="O29" s="373">
        <f t="shared" si="36"/>
        <v>15277.770018399997</v>
      </c>
      <c r="P29" s="373">
        <f t="shared" si="14"/>
        <v>37251.751999999993</v>
      </c>
      <c r="Q29" s="376">
        <f>(P29-25000)*0.27+(25000-M29)*0.2</f>
        <v>4582.7978399999993</v>
      </c>
      <c r="R29" s="373">
        <f t="shared" si="37"/>
        <v>13920.147378399997</v>
      </c>
      <c r="S29" s="373">
        <f t="shared" ref="S29:S53" si="51">H29*3</f>
        <v>55877.62799999999</v>
      </c>
      <c r="T29" s="376">
        <f t="shared" ref="T29:T33" si="52">M29*0.27</f>
        <v>5028.9865199999995</v>
      </c>
      <c r="U29" s="373">
        <f t="shared" si="38"/>
        <v>13473.958698399998</v>
      </c>
      <c r="V29" s="373">
        <f t="shared" ref="V29:V53" si="53">H29*4</f>
        <v>74503.503999999986</v>
      </c>
      <c r="W29" s="376">
        <f t="shared" ref="W29:W48" si="54">H29*0.27</f>
        <v>5028.9865199999995</v>
      </c>
      <c r="X29" s="373">
        <f t="shared" si="39"/>
        <v>13473.958698399998</v>
      </c>
      <c r="Y29" s="373">
        <f t="shared" ref="Y29:Y53" si="55">H29*5</f>
        <v>93129.379999999976</v>
      </c>
      <c r="Z29" s="377">
        <f>(Y29-88000)*0.35+(88000-V29)*0.27</f>
        <v>5439.3369199999952</v>
      </c>
      <c r="AA29" s="373">
        <f t="shared" si="40"/>
        <v>13063.608298400002</v>
      </c>
      <c r="AB29" s="373">
        <f t="shared" ref="AB29:AB53" si="56">H29*6</f>
        <v>111755.25599999998</v>
      </c>
      <c r="AC29" s="377">
        <f>H29*0.35</f>
        <v>6519.0565999999981</v>
      </c>
      <c r="AD29" s="373">
        <f t="shared" si="41"/>
        <v>11983.888618399998</v>
      </c>
      <c r="AE29" s="373">
        <f t="shared" ref="AE29:AE53" si="57">H29*7</f>
        <v>130381.13199999998</v>
      </c>
      <c r="AF29" s="377">
        <f>H29*0.35</f>
        <v>6519.0565999999981</v>
      </c>
      <c r="AG29" s="373">
        <f t="shared" si="42"/>
        <v>11983.888618399998</v>
      </c>
      <c r="AH29" s="373">
        <f t="shared" ref="AH29:AH53" si="58">H29*8</f>
        <v>149007.00799999997</v>
      </c>
      <c r="AI29" s="377">
        <f>H29*0.35</f>
        <v>6519.0565999999981</v>
      </c>
      <c r="AJ29" s="373">
        <f t="shared" si="43"/>
        <v>11983.888618399998</v>
      </c>
      <c r="AK29" s="373">
        <f t="shared" ref="AK29:AK53" si="59">H29*9</f>
        <v>167632.88399999996</v>
      </c>
      <c r="AL29" s="377">
        <f>H29*0.35</f>
        <v>6519.0565999999981</v>
      </c>
      <c r="AM29" s="373">
        <f t="shared" si="45"/>
        <v>11983.888618399998</v>
      </c>
      <c r="AN29" s="373">
        <f t="shared" ref="AN29:AN53" si="60">H29*10</f>
        <v>186258.75999999995</v>
      </c>
      <c r="AO29" s="377">
        <f>H29*0.35</f>
        <v>6519.0565999999981</v>
      </c>
      <c r="AP29" s="373">
        <f t="shared" si="46"/>
        <v>16884.204557799996</v>
      </c>
      <c r="AQ29" s="373">
        <f t="shared" ref="AQ29:AQ53" si="61">H29*11</f>
        <v>204884.63599999997</v>
      </c>
      <c r="AR29" s="377">
        <f t="shared" ref="AR29:AR36" si="62">H29*0.35</f>
        <v>6519.0565999999981</v>
      </c>
      <c r="AS29" s="373">
        <f t="shared" si="47"/>
        <v>11983.888618399998</v>
      </c>
      <c r="AT29" s="373">
        <f t="shared" ref="AT29:AT53" si="63">H29*12</f>
        <v>223510.51199999996</v>
      </c>
      <c r="AU29" s="377">
        <f t="shared" ref="AU29:AU36" si="64">H29*0.35</f>
        <v>6519.0565999999981</v>
      </c>
      <c r="AV29" s="373">
        <f t="shared" si="48"/>
        <v>11983.888618399998</v>
      </c>
      <c r="AW29" s="292"/>
    </row>
    <row r="30" spans="1:49" ht="28.5" x14ac:dyDescent="0.45">
      <c r="A30" s="716"/>
      <c r="B30" s="347" t="s">
        <v>214</v>
      </c>
      <c r="C30" s="283">
        <v>600</v>
      </c>
      <c r="D30" s="238">
        <v>4996.0199999999995</v>
      </c>
      <c r="E30" s="238">
        <v>19984.079999999998</v>
      </c>
      <c r="F30" s="238">
        <f t="shared" si="49"/>
        <v>24980.1</v>
      </c>
      <c r="G30" s="233">
        <v>359</v>
      </c>
      <c r="H30" s="353">
        <f t="shared" ref="H30:H53" si="65">D30+E30*$H$28*$I30-G30</f>
        <v>11431.607199999999</v>
      </c>
      <c r="I30" s="363">
        <v>0.34</v>
      </c>
      <c r="J30" s="362">
        <v>8000</v>
      </c>
      <c r="K30" s="361">
        <f t="shared" si="26"/>
        <v>8327.7895607633327</v>
      </c>
      <c r="L30" s="372">
        <f t="shared" si="12"/>
        <v>75.448607519999996</v>
      </c>
      <c r="M30" s="373">
        <f t="shared" si="13"/>
        <v>11431.607199999999</v>
      </c>
      <c r="N30" s="374">
        <f t="shared" si="50"/>
        <v>1786.3214399999997</v>
      </c>
      <c r="O30" s="373">
        <f t="shared" si="36"/>
        <v>9569.8371524799986</v>
      </c>
      <c r="P30" s="373">
        <f t="shared" si="14"/>
        <v>22863.214399999997</v>
      </c>
      <c r="Q30" s="374">
        <f>H30*0.2</f>
        <v>2286.3214399999997</v>
      </c>
      <c r="R30" s="373">
        <f t="shared" si="37"/>
        <v>9069.8371524799986</v>
      </c>
      <c r="S30" s="373">
        <f t="shared" si="51"/>
        <v>34294.821599999996</v>
      </c>
      <c r="T30" s="376">
        <f>(S30-25000)*0.27+(25000-P30)*0.2</f>
        <v>2936.9589519999995</v>
      </c>
      <c r="U30" s="373">
        <f t="shared" si="38"/>
        <v>8419.1996404799993</v>
      </c>
      <c r="V30" s="373">
        <f t="shared" si="53"/>
        <v>45726.428799999994</v>
      </c>
      <c r="W30" s="376">
        <f t="shared" si="54"/>
        <v>3086.5339439999998</v>
      </c>
      <c r="X30" s="373">
        <f t="shared" si="39"/>
        <v>8269.6246484799995</v>
      </c>
      <c r="Y30" s="373">
        <f t="shared" si="55"/>
        <v>57158.035999999993</v>
      </c>
      <c r="Z30" s="376">
        <f t="shared" ref="Z30:Z37" si="66">H30*0.27</f>
        <v>3086.5339439999998</v>
      </c>
      <c r="AA30" s="373">
        <f t="shared" si="40"/>
        <v>8269.6246484799995</v>
      </c>
      <c r="AB30" s="373">
        <f t="shared" si="56"/>
        <v>68589.643199999991</v>
      </c>
      <c r="AC30" s="376">
        <f t="shared" si="28"/>
        <v>3086.5339439999998</v>
      </c>
      <c r="AD30" s="373">
        <f t="shared" si="41"/>
        <v>8269.6246484799995</v>
      </c>
      <c r="AE30" s="373">
        <f t="shared" si="57"/>
        <v>80021.25039999999</v>
      </c>
      <c r="AF30" s="376">
        <f t="shared" ref="AF30:AF31" si="67">H30*0.27</f>
        <v>3086.5339439999998</v>
      </c>
      <c r="AG30" s="373">
        <f t="shared" si="42"/>
        <v>8269.6246484799995</v>
      </c>
      <c r="AH30" s="373">
        <f t="shared" si="58"/>
        <v>91452.857599999988</v>
      </c>
      <c r="AI30" s="376">
        <f>H30*0.27</f>
        <v>3086.5339439999998</v>
      </c>
      <c r="AJ30" s="373">
        <f t="shared" si="43"/>
        <v>8269.6246484799995</v>
      </c>
      <c r="AK30" s="373">
        <f t="shared" si="59"/>
        <v>102884.46479999999</v>
      </c>
      <c r="AL30" s="377">
        <f>(AK30-88000)*0.35+(88000-AH30)*0.27</f>
        <v>4277.2911279999989</v>
      </c>
      <c r="AM30" s="373">
        <f t="shared" si="45"/>
        <v>7078.8674644799994</v>
      </c>
      <c r="AN30" s="373">
        <f t="shared" si="60"/>
        <v>114316.07199999999</v>
      </c>
      <c r="AO30" s="377">
        <f>H30*0.35</f>
        <v>4001.062519999999</v>
      </c>
      <c r="AP30" s="373">
        <f t="shared" si="46"/>
        <v>9737.4179318799979</v>
      </c>
      <c r="AQ30" s="373">
        <f t="shared" si="61"/>
        <v>125747.67919999998</v>
      </c>
      <c r="AR30" s="377">
        <f t="shared" si="62"/>
        <v>4001.062519999999</v>
      </c>
      <c r="AS30" s="373">
        <f t="shared" si="47"/>
        <v>7355.0960724799988</v>
      </c>
      <c r="AT30" s="373">
        <f t="shared" si="63"/>
        <v>137179.28639999998</v>
      </c>
      <c r="AU30" s="377">
        <f t="shared" si="64"/>
        <v>4001.062519999999</v>
      </c>
      <c r="AV30" s="373">
        <f t="shared" si="48"/>
        <v>7355.0960724799988</v>
      </c>
      <c r="AW30" s="292"/>
    </row>
    <row r="31" spans="1:49" ht="28.5" x14ac:dyDescent="0.45">
      <c r="A31" s="716"/>
      <c r="B31" s="368" t="s">
        <v>220</v>
      </c>
      <c r="C31" s="231">
        <v>600</v>
      </c>
      <c r="D31" s="234">
        <v>4996.0199999999995</v>
      </c>
      <c r="E31" s="234">
        <v>19984.079999999998</v>
      </c>
      <c r="F31" s="234">
        <v>16231.55401011872</v>
      </c>
      <c r="G31" s="233">
        <v>359</v>
      </c>
      <c r="H31" s="353">
        <f t="shared" si="65"/>
        <v>9633.0399999999991</v>
      </c>
      <c r="I31" s="363">
        <v>0.25</v>
      </c>
      <c r="J31" s="362">
        <v>6844</v>
      </c>
      <c r="K31" s="361">
        <f t="shared" si="26"/>
        <v>7109.4489476166664</v>
      </c>
      <c r="L31" s="372">
        <f t="shared" si="12"/>
        <v>63.578063999999991</v>
      </c>
      <c r="M31" s="373">
        <f t="shared" si="13"/>
        <v>9633.0399999999991</v>
      </c>
      <c r="N31" s="378">
        <f t="shared" ref="N31" si="68">M31*0.15</f>
        <v>1444.9559999999999</v>
      </c>
      <c r="O31" s="373">
        <f t="shared" si="36"/>
        <v>8124.5059359999996</v>
      </c>
      <c r="P31" s="373">
        <f t="shared" si="14"/>
        <v>19266.079999999998</v>
      </c>
      <c r="Q31" s="374">
        <f t="shared" ref="Q31" si="69">(P31-10000)*0.2+(10000-M31)*0.15</f>
        <v>1908.2599999999998</v>
      </c>
      <c r="R31" s="373">
        <f t="shared" si="37"/>
        <v>7661.2019359999995</v>
      </c>
      <c r="S31" s="373">
        <f t="shared" si="51"/>
        <v>28899.119999999995</v>
      </c>
      <c r="T31" s="376">
        <f>(S31-25000)*0.27+(25000-P31)*0.2</f>
        <v>2199.5463999999993</v>
      </c>
      <c r="U31" s="373">
        <f t="shared" si="38"/>
        <v>7369.9155360000004</v>
      </c>
      <c r="V31" s="373">
        <f t="shared" si="53"/>
        <v>38532.159999999996</v>
      </c>
      <c r="W31" s="376">
        <f t="shared" si="54"/>
        <v>2600.9207999999999</v>
      </c>
      <c r="X31" s="373">
        <f t="shared" si="39"/>
        <v>6968.5411359999998</v>
      </c>
      <c r="Y31" s="373">
        <f t="shared" si="55"/>
        <v>48165.2</v>
      </c>
      <c r="Z31" s="376">
        <f t="shared" si="66"/>
        <v>2600.9207999999999</v>
      </c>
      <c r="AA31" s="373">
        <f t="shared" si="40"/>
        <v>6968.5411359999998</v>
      </c>
      <c r="AB31" s="373">
        <f t="shared" si="56"/>
        <v>57798.239999999991</v>
      </c>
      <c r="AC31" s="376">
        <f t="shared" si="28"/>
        <v>2600.9207999999999</v>
      </c>
      <c r="AD31" s="373">
        <f t="shared" si="41"/>
        <v>6968.5411359999998</v>
      </c>
      <c r="AE31" s="373">
        <f t="shared" si="57"/>
        <v>67431.28</v>
      </c>
      <c r="AF31" s="376">
        <f t="shared" si="67"/>
        <v>2600.9207999999999</v>
      </c>
      <c r="AG31" s="373">
        <f t="shared" si="42"/>
        <v>6968.5411359999998</v>
      </c>
      <c r="AH31" s="373">
        <f t="shared" si="58"/>
        <v>77064.319999999992</v>
      </c>
      <c r="AI31" s="376">
        <f>H31*0.27</f>
        <v>2600.9207999999999</v>
      </c>
      <c r="AJ31" s="373">
        <f t="shared" si="43"/>
        <v>6968.5411359999998</v>
      </c>
      <c r="AK31" s="373">
        <f t="shared" si="59"/>
        <v>86697.359999999986</v>
      </c>
      <c r="AL31" s="376">
        <f t="shared" ref="AL31" si="70">H31*0.27</f>
        <v>2600.9207999999999</v>
      </c>
      <c r="AM31" s="373">
        <f t="shared" si="45"/>
        <v>6968.5411359999998</v>
      </c>
      <c r="AN31" s="373">
        <f t="shared" si="60"/>
        <v>96330.4</v>
      </c>
      <c r="AO31" s="377">
        <f>(AN31-88000)*0.35+(88000-AK31)*0.27</f>
        <v>3267.3528000000015</v>
      </c>
      <c r="AP31" s="373">
        <f t="shared" si="46"/>
        <v>7950.7212753999993</v>
      </c>
      <c r="AQ31" s="373">
        <f t="shared" si="61"/>
        <v>105963.43999999999</v>
      </c>
      <c r="AR31" s="377">
        <f t="shared" si="62"/>
        <v>3371.5639999999994</v>
      </c>
      <c r="AS31" s="373">
        <f t="shared" si="47"/>
        <v>6197.8979360000003</v>
      </c>
      <c r="AT31" s="373">
        <f t="shared" si="63"/>
        <v>115596.47999999998</v>
      </c>
      <c r="AU31" s="377">
        <f t="shared" si="64"/>
        <v>3371.5639999999994</v>
      </c>
      <c r="AV31" s="373">
        <f t="shared" si="48"/>
        <v>6197.8979360000003</v>
      </c>
      <c r="AW31" s="292"/>
    </row>
    <row r="32" spans="1:49" ht="28.5" x14ac:dyDescent="0.45">
      <c r="A32" s="716"/>
      <c r="B32" s="347" t="s">
        <v>32</v>
      </c>
      <c r="C32" s="283">
        <v>450</v>
      </c>
      <c r="D32" s="238">
        <v>4996.0199999999995</v>
      </c>
      <c r="E32" s="238">
        <v>14988.06</v>
      </c>
      <c r="F32" s="238">
        <f t="shared" si="49"/>
        <v>19984.079999999998</v>
      </c>
      <c r="G32" s="233">
        <v>359</v>
      </c>
      <c r="H32" s="353">
        <f t="shared" si="65"/>
        <v>14529.139599999999</v>
      </c>
      <c r="I32" s="363">
        <v>0.66</v>
      </c>
      <c r="J32" s="362">
        <v>10000</v>
      </c>
      <c r="K32" s="361">
        <f t="shared" si="26"/>
        <v>10411.086601923334</v>
      </c>
      <c r="L32" s="372">
        <f t="shared" si="12"/>
        <v>95.892321359999997</v>
      </c>
      <c r="M32" s="373">
        <f t="shared" si="13"/>
        <v>14529.139599999999</v>
      </c>
      <c r="N32" s="374">
        <f t="shared" si="50"/>
        <v>2405.8279199999997</v>
      </c>
      <c r="O32" s="373">
        <f t="shared" si="36"/>
        <v>12027.41935864</v>
      </c>
      <c r="P32" s="373">
        <f t="shared" si="14"/>
        <v>29058.279199999997</v>
      </c>
      <c r="Q32" s="376">
        <f>(P32-25000)*0.27+(25000-M32)*0.2</f>
        <v>3189.9074639999999</v>
      </c>
      <c r="R32" s="373">
        <f t="shared" si="37"/>
        <v>11243.33981464</v>
      </c>
      <c r="S32" s="373">
        <f t="shared" si="51"/>
        <v>43587.418799999999</v>
      </c>
      <c r="T32" s="376">
        <f t="shared" si="52"/>
        <v>3922.8676919999998</v>
      </c>
      <c r="U32" s="373">
        <f t="shared" si="38"/>
        <v>10510.37958664</v>
      </c>
      <c r="V32" s="373">
        <f t="shared" si="53"/>
        <v>58116.558399999994</v>
      </c>
      <c r="W32" s="376">
        <f t="shared" si="54"/>
        <v>3922.8676919999998</v>
      </c>
      <c r="X32" s="373">
        <f t="shared" si="39"/>
        <v>10510.37958664</v>
      </c>
      <c r="Y32" s="373">
        <f t="shared" si="55"/>
        <v>72645.697999999989</v>
      </c>
      <c r="Z32" s="376">
        <f t="shared" si="66"/>
        <v>3922.8676919999998</v>
      </c>
      <c r="AA32" s="373">
        <f t="shared" si="40"/>
        <v>10510.37958664</v>
      </c>
      <c r="AB32" s="373">
        <f t="shared" si="56"/>
        <v>87174.837599999999</v>
      </c>
      <c r="AC32" s="376">
        <f t="shared" si="28"/>
        <v>3922.8676919999998</v>
      </c>
      <c r="AD32" s="373">
        <f t="shared" si="41"/>
        <v>10510.37958664</v>
      </c>
      <c r="AE32" s="373">
        <f t="shared" si="57"/>
        <v>101703.97719999999</v>
      </c>
      <c r="AF32" s="377">
        <f>(AE32-88000)*0.35+(88000-AB32)*0.27</f>
        <v>5019.1858679999978</v>
      </c>
      <c r="AG32" s="373">
        <f t="shared" si="42"/>
        <v>9414.0614106400026</v>
      </c>
      <c r="AH32" s="373">
        <f t="shared" si="58"/>
        <v>116233.11679999999</v>
      </c>
      <c r="AI32" s="377">
        <f>H32*0.35</f>
        <v>5085.1988599999995</v>
      </c>
      <c r="AJ32" s="373">
        <f t="shared" si="43"/>
        <v>9348.048418639999</v>
      </c>
      <c r="AK32" s="373">
        <f t="shared" si="59"/>
        <v>130762.25639999998</v>
      </c>
      <c r="AL32" s="377">
        <f>H32*0.35</f>
        <v>5085.1988599999995</v>
      </c>
      <c r="AM32" s="373">
        <f t="shared" si="45"/>
        <v>9348.048418639999</v>
      </c>
      <c r="AN32" s="373">
        <f t="shared" si="60"/>
        <v>145291.39599999998</v>
      </c>
      <c r="AO32" s="377">
        <f>H32*0.35</f>
        <v>5085.1988599999995</v>
      </c>
      <c r="AP32" s="373">
        <f t="shared" si="46"/>
        <v>12814.506618039999</v>
      </c>
      <c r="AQ32" s="373">
        <f t="shared" si="61"/>
        <v>159820.53559999997</v>
      </c>
      <c r="AR32" s="377">
        <f t="shared" si="62"/>
        <v>5085.1988599999995</v>
      </c>
      <c r="AS32" s="373">
        <f t="shared" si="47"/>
        <v>9348.048418639999</v>
      </c>
      <c r="AT32" s="373">
        <f t="shared" si="63"/>
        <v>174349.6752</v>
      </c>
      <c r="AU32" s="377">
        <f t="shared" si="64"/>
        <v>5085.1988599999995</v>
      </c>
      <c r="AV32" s="373">
        <f t="shared" si="48"/>
        <v>9348.048418639999</v>
      </c>
      <c r="AW32" s="292"/>
    </row>
    <row r="33" spans="1:49" ht="28.5" x14ac:dyDescent="0.45">
      <c r="A33" s="716"/>
      <c r="B33" s="347" t="s">
        <v>237</v>
      </c>
      <c r="C33" s="283">
        <v>450</v>
      </c>
      <c r="D33" s="238">
        <v>4996.0199999999995</v>
      </c>
      <c r="E33" s="238">
        <v>14988.06</v>
      </c>
      <c r="F33" s="238">
        <f t="shared" si="49"/>
        <v>19984.079999999998</v>
      </c>
      <c r="G33" s="233">
        <v>359</v>
      </c>
      <c r="H33" s="353">
        <f t="shared" si="65"/>
        <v>13030.333600000002</v>
      </c>
      <c r="I33" s="363">
        <v>0.56000000000000005</v>
      </c>
      <c r="J33" s="362">
        <v>9000</v>
      </c>
      <c r="K33" s="361">
        <f t="shared" si="26"/>
        <v>9403.0396465233353</v>
      </c>
      <c r="L33" s="372">
        <f t="shared" si="12"/>
        <v>86.00020176000001</v>
      </c>
      <c r="M33" s="373">
        <f t="shared" si="13"/>
        <v>13030.333600000002</v>
      </c>
      <c r="N33" s="374">
        <f t="shared" si="50"/>
        <v>2106.0667200000003</v>
      </c>
      <c r="O33" s="373">
        <f t="shared" si="36"/>
        <v>10838.266678240001</v>
      </c>
      <c r="P33" s="373">
        <f t="shared" si="14"/>
        <v>26060.667200000004</v>
      </c>
      <c r="Q33" s="376">
        <f>(P33-25000)*0.27+(25000-M33)*0.2</f>
        <v>2680.3134240000009</v>
      </c>
      <c r="R33" s="373">
        <f t="shared" si="37"/>
        <v>10264.01997424</v>
      </c>
      <c r="S33" s="373">
        <f t="shared" si="51"/>
        <v>39091.000800000009</v>
      </c>
      <c r="T33" s="376">
        <f t="shared" si="52"/>
        <v>3518.1900720000008</v>
      </c>
      <c r="U33" s="373">
        <f t="shared" si="38"/>
        <v>9426.1433262400005</v>
      </c>
      <c r="V33" s="373">
        <f t="shared" si="53"/>
        <v>52121.334400000007</v>
      </c>
      <c r="W33" s="376">
        <f t="shared" si="54"/>
        <v>3518.1900720000008</v>
      </c>
      <c r="X33" s="373">
        <f t="shared" si="39"/>
        <v>9426.1433262400005</v>
      </c>
      <c r="Y33" s="373">
        <f t="shared" si="55"/>
        <v>65151.668000000005</v>
      </c>
      <c r="Z33" s="376">
        <f t="shared" si="66"/>
        <v>3518.1900720000008</v>
      </c>
      <c r="AA33" s="373">
        <f t="shared" si="40"/>
        <v>9426.1433262400005</v>
      </c>
      <c r="AB33" s="373">
        <f t="shared" si="56"/>
        <v>78182.001600000018</v>
      </c>
      <c r="AC33" s="376">
        <f t="shared" si="28"/>
        <v>3518.1900720000008</v>
      </c>
      <c r="AD33" s="373">
        <f t="shared" si="41"/>
        <v>9426.1433262400005</v>
      </c>
      <c r="AE33" s="373">
        <f t="shared" si="57"/>
        <v>91212.335200000016</v>
      </c>
      <c r="AF33" s="377">
        <f>(AE33-88000)*0.35+(88000-AB33)*0.27</f>
        <v>3775.1768880000009</v>
      </c>
      <c r="AG33" s="373">
        <f t="shared" si="42"/>
        <v>9169.1565102400018</v>
      </c>
      <c r="AH33" s="373">
        <f t="shared" si="58"/>
        <v>104242.66880000001</v>
      </c>
      <c r="AI33" s="377">
        <f>H33*0.35</f>
        <v>4560.6167599999999</v>
      </c>
      <c r="AJ33" s="373">
        <f t="shared" si="43"/>
        <v>8383.7166382400028</v>
      </c>
      <c r="AK33" s="373">
        <f t="shared" si="59"/>
        <v>117273.00240000001</v>
      </c>
      <c r="AL33" s="377">
        <f>H33*0.35</f>
        <v>4560.6167599999999</v>
      </c>
      <c r="AM33" s="373">
        <f t="shared" si="45"/>
        <v>8383.7166382400028</v>
      </c>
      <c r="AN33" s="373">
        <f t="shared" si="60"/>
        <v>130303.33600000001</v>
      </c>
      <c r="AO33" s="377">
        <f>H33*0.35</f>
        <v>4560.6167599999999</v>
      </c>
      <c r="AP33" s="373">
        <f t="shared" si="46"/>
        <v>11325.592737640001</v>
      </c>
      <c r="AQ33" s="373">
        <f t="shared" si="61"/>
        <v>143333.66960000002</v>
      </c>
      <c r="AR33" s="377">
        <f t="shared" si="62"/>
        <v>4560.6167599999999</v>
      </c>
      <c r="AS33" s="373">
        <f t="shared" si="47"/>
        <v>8383.7166382400028</v>
      </c>
      <c r="AT33" s="373">
        <f t="shared" si="63"/>
        <v>156364.00320000004</v>
      </c>
      <c r="AU33" s="377">
        <f t="shared" si="64"/>
        <v>4560.6167599999999</v>
      </c>
      <c r="AV33" s="373">
        <f t="shared" si="48"/>
        <v>8383.7166382400028</v>
      </c>
      <c r="AW33" s="292"/>
    </row>
    <row r="34" spans="1:49" ht="28.5" x14ac:dyDescent="0.45">
      <c r="A34" s="716"/>
      <c r="B34" s="368" t="s">
        <v>234</v>
      </c>
      <c r="C34" s="231">
        <v>300</v>
      </c>
      <c r="D34" s="234">
        <v>4996.0199999999995</v>
      </c>
      <c r="E34" s="234">
        <v>9992.0399999999991</v>
      </c>
      <c r="F34" s="234">
        <f t="shared" si="49"/>
        <v>14988.059999999998</v>
      </c>
      <c r="G34" s="233">
        <v>359</v>
      </c>
      <c r="H34" s="353">
        <f t="shared" si="65"/>
        <v>11131.846</v>
      </c>
      <c r="I34" s="363">
        <v>0.65</v>
      </c>
      <c r="J34" s="362">
        <v>7806</v>
      </c>
      <c r="K34" s="361">
        <f t="shared" si="26"/>
        <v>8126.1801696833327</v>
      </c>
      <c r="L34" s="372">
        <f t="shared" si="12"/>
        <v>73.470183599999999</v>
      </c>
      <c r="M34" s="373">
        <f t="shared" si="13"/>
        <v>11131.846</v>
      </c>
      <c r="N34" s="374">
        <f t="shared" si="50"/>
        <v>1726.3691999999999</v>
      </c>
      <c r="O34" s="373">
        <f t="shared" si="36"/>
        <v>9332.0066164</v>
      </c>
      <c r="P34" s="373">
        <f t="shared" si="14"/>
        <v>22263.691999999999</v>
      </c>
      <c r="Q34" s="374">
        <f>H34*0.2</f>
        <v>2226.3692000000001</v>
      </c>
      <c r="R34" s="373">
        <f t="shared" si="37"/>
        <v>8832.0066163999982</v>
      </c>
      <c r="S34" s="373">
        <f t="shared" si="51"/>
        <v>33395.538</v>
      </c>
      <c r="T34" s="376">
        <f>(S34-25000)*0.27+(25000-P34)*0.2</f>
        <v>2814.0568600000006</v>
      </c>
      <c r="U34" s="373">
        <f t="shared" si="38"/>
        <v>8244.3189563999986</v>
      </c>
      <c r="V34" s="373">
        <f t="shared" si="53"/>
        <v>44527.383999999998</v>
      </c>
      <c r="W34" s="376">
        <f t="shared" si="54"/>
        <v>3005.5984200000003</v>
      </c>
      <c r="X34" s="373">
        <f t="shared" si="39"/>
        <v>8052.7773963999989</v>
      </c>
      <c r="Y34" s="373">
        <f t="shared" si="55"/>
        <v>55659.229999999996</v>
      </c>
      <c r="Z34" s="376">
        <f t="shared" si="66"/>
        <v>3005.5984200000003</v>
      </c>
      <c r="AA34" s="373">
        <f t="shared" si="40"/>
        <v>8052.7773963999989</v>
      </c>
      <c r="AB34" s="373">
        <f t="shared" si="56"/>
        <v>66791.076000000001</v>
      </c>
      <c r="AC34" s="376">
        <f t="shared" si="28"/>
        <v>3005.5984200000003</v>
      </c>
      <c r="AD34" s="373">
        <f t="shared" si="41"/>
        <v>8052.7773963999989</v>
      </c>
      <c r="AE34" s="373">
        <f t="shared" si="57"/>
        <v>77922.921999999991</v>
      </c>
      <c r="AF34" s="376">
        <f t="shared" ref="AF34:AF49" si="71">H34*0.27</f>
        <v>3005.5984200000003</v>
      </c>
      <c r="AG34" s="373">
        <f t="shared" si="42"/>
        <v>8052.7773963999989</v>
      </c>
      <c r="AH34" s="373">
        <f t="shared" si="58"/>
        <v>89054.767999999996</v>
      </c>
      <c r="AI34" s="376">
        <f>H34*0.27</f>
        <v>3005.5984200000003</v>
      </c>
      <c r="AJ34" s="373">
        <f t="shared" si="43"/>
        <v>8052.7773963999989</v>
      </c>
      <c r="AK34" s="373">
        <f t="shared" si="59"/>
        <v>100186.614</v>
      </c>
      <c r="AL34" s="377">
        <f>(AK34-88000)*0.35+(88000-AH34)*0.27</f>
        <v>3980.5275400000014</v>
      </c>
      <c r="AM34" s="373">
        <f t="shared" si="45"/>
        <v>7077.8482763999982</v>
      </c>
      <c r="AN34" s="373">
        <f t="shared" si="60"/>
        <v>111318.45999999999</v>
      </c>
      <c r="AO34" s="377">
        <f>H34*0.35</f>
        <v>3896.1460999999995</v>
      </c>
      <c r="AP34" s="373">
        <f t="shared" si="46"/>
        <v>9439.6351557999988</v>
      </c>
      <c r="AQ34" s="373">
        <f t="shared" si="61"/>
        <v>122450.306</v>
      </c>
      <c r="AR34" s="377">
        <f t="shared" si="62"/>
        <v>3896.1460999999995</v>
      </c>
      <c r="AS34" s="373">
        <f t="shared" si="47"/>
        <v>7162.2297163999992</v>
      </c>
      <c r="AT34" s="373">
        <f t="shared" si="63"/>
        <v>133582.152</v>
      </c>
      <c r="AU34" s="377">
        <f t="shared" si="64"/>
        <v>3896.1460999999995</v>
      </c>
      <c r="AV34" s="373">
        <f t="shared" si="48"/>
        <v>7162.2297163999992</v>
      </c>
      <c r="AW34" s="292"/>
    </row>
    <row r="35" spans="1:49" ht="28.5" x14ac:dyDescent="0.45">
      <c r="A35" s="716"/>
      <c r="B35" s="368" t="s">
        <v>242</v>
      </c>
      <c r="C35" s="231">
        <v>300</v>
      </c>
      <c r="D35" s="234">
        <v>4996.0199999999995</v>
      </c>
      <c r="E35" s="234">
        <v>9992.0399999999991</v>
      </c>
      <c r="F35" s="234">
        <f t="shared" si="49"/>
        <v>14988.059999999998</v>
      </c>
      <c r="G35" s="233">
        <v>359</v>
      </c>
      <c r="H35" s="353">
        <f t="shared" si="65"/>
        <v>10632.243999999999</v>
      </c>
      <c r="I35" s="363">
        <v>0.6</v>
      </c>
      <c r="J35" s="362">
        <v>7500</v>
      </c>
      <c r="K35" s="361">
        <f t="shared" si="26"/>
        <v>7790.1645178833342</v>
      </c>
      <c r="L35" s="372">
        <f t="shared" si="12"/>
        <v>70.172810399999989</v>
      </c>
      <c r="M35" s="373">
        <f t="shared" si="13"/>
        <v>10632.243999999999</v>
      </c>
      <c r="N35" s="374">
        <f t="shared" si="50"/>
        <v>1626.4487999999997</v>
      </c>
      <c r="O35" s="373">
        <f t="shared" si="36"/>
        <v>8935.6223895999992</v>
      </c>
      <c r="P35" s="373">
        <f t="shared" si="14"/>
        <v>21264.487999999998</v>
      </c>
      <c r="Q35" s="374">
        <f>H35*0.2</f>
        <v>2126.4487999999997</v>
      </c>
      <c r="R35" s="373">
        <f t="shared" si="37"/>
        <v>8435.6223895999992</v>
      </c>
      <c r="S35" s="373">
        <f t="shared" si="51"/>
        <v>31896.731999999996</v>
      </c>
      <c r="T35" s="376">
        <f>(S35-25000)*0.27+(25000-P35)*0.2</f>
        <v>2609.2200399999997</v>
      </c>
      <c r="U35" s="373">
        <f t="shared" si="38"/>
        <v>7952.8511495999992</v>
      </c>
      <c r="V35" s="373">
        <f t="shared" si="53"/>
        <v>42528.975999999995</v>
      </c>
      <c r="W35" s="376">
        <f t="shared" si="54"/>
        <v>2870.70588</v>
      </c>
      <c r="X35" s="373">
        <f t="shared" si="39"/>
        <v>7691.3653095999998</v>
      </c>
      <c r="Y35" s="373">
        <f t="shared" si="55"/>
        <v>53161.219999999994</v>
      </c>
      <c r="Z35" s="376">
        <f t="shared" si="66"/>
        <v>2870.70588</v>
      </c>
      <c r="AA35" s="373">
        <f t="shared" si="40"/>
        <v>7691.3653095999998</v>
      </c>
      <c r="AB35" s="373">
        <f t="shared" si="56"/>
        <v>63793.463999999993</v>
      </c>
      <c r="AC35" s="376">
        <f t="shared" si="28"/>
        <v>2870.70588</v>
      </c>
      <c r="AD35" s="373">
        <f t="shared" si="41"/>
        <v>7691.3653095999998</v>
      </c>
      <c r="AE35" s="373">
        <f t="shared" si="57"/>
        <v>74425.707999999984</v>
      </c>
      <c r="AF35" s="376">
        <f t="shared" si="71"/>
        <v>2870.70588</v>
      </c>
      <c r="AG35" s="373">
        <f t="shared" si="42"/>
        <v>7691.3653095999998</v>
      </c>
      <c r="AH35" s="373">
        <f t="shared" si="58"/>
        <v>85057.95199999999</v>
      </c>
      <c r="AI35" s="376">
        <f>H35*0.27</f>
        <v>2870.70588</v>
      </c>
      <c r="AJ35" s="373">
        <f t="shared" si="43"/>
        <v>7691.3653095999998</v>
      </c>
      <c r="AK35" s="373">
        <f t="shared" si="59"/>
        <v>95690.195999999996</v>
      </c>
      <c r="AL35" s="377">
        <f>(AK35-88000)*0.35+(88000-AH35)*0.27</f>
        <v>3485.9215600000016</v>
      </c>
      <c r="AM35" s="373">
        <f t="shared" si="45"/>
        <v>7076.1496295999978</v>
      </c>
      <c r="AN35" s="373">
        <f t="shared" si="60"/>
        <v>106322.43999999999</v>
      </c>
      <c r="AO35" s="377">
        <f>H35*0.35</f>
        <v>3721.2853999999993</v>
      </c>
      <c r="AP35" s="373">
        <f t="shared" si="46"/>
        <v>8943.3305289999989</v>
      </c>
      <c r="AQ35" s="373">
        <f t="shared" si="61"/>
        <v>116954.68399999998</v>
      </c>
      <c r="AR35" s="377">
        <f t="shared" si="62"/>
        <v>3721.2853999999993</v>
      </c>
      <c r="AS35" s="373">
        <f t="shared" si="47"/>
        <v>6840.7857896000005</v>
      </c>
      <c r="AT35" s="373">
        <f t="shared" si="63"/>
        <v>127586.92799999999</v>
      </c>
      <c r="AU35" s="377">
        <f t="shared" si="64"/>
        <v>3721.2853999999993</v>
      </c>
      <c r="AV35" s="373">
        <f t="shared" si="48"/>
        <v>6840.7857896000005</v>
      </c>
      <c r="AW35" s="292"/>
    </row>
    <row r="36" spans="1:49" ht="28.5" x14ac:dyDescent="0.45">
      <c r="A36" s="716"/>
      <c r="B36" s="368" t="s">
        <v>235</v>
      </c>
      <c r="C36" s="231">
        <v>300</v>
      </c>
      <c r="D36" s="234">
        <v>4996.0199999999995</v>
      </c>
      <c r="E36" s="234">
        <v>9992.0399999999991</v>
      </c>
      <c r="F36" s="234">
        <f t="shared" si="49"/>
        <v>14988.059999999998</v>
      </c>
      <c r="G36" s="233">
        <v>359</v>
      </c>
      <c r="H36" s="353">
        <f t="shared" si="65"/>
        <v>9932.8011999999981</v>
      </c>
      <c r="I36" s="363">
        <v>0.53</v>
      </c>
      <c r="J36" s="362">
        <v>7000</v>
      </c>
      <c r="K36" s="361">
        <f t="shared" si="26"/>
        <v>7329.0440106966662</v>
      </c>
      <c r="L36" s="372">
        <f t="shared" si="12"/>
        <v>65.556487919999981</v>
      </c>
      <c r="M36" s="373">
        <f t="shared" si="13"/>
        <v>9932.8011999999981</v>
      </c>
      <c r="N36" s="378">
        <f t="shared" ref="N36:N37" si="72">M36*0.15</f>
        <v>1489.9201799999996</v>
      </c>
      <c r="O36" s="373">
        <f t="shared" si="36"/>
        <v>8377.3245320799997</v>
      </c>
      <c r="P36" s="373">
        <f t="shared" si="14"/>
        <v>19865.602399999996</v>
      </c>
      <c r="Q36" s="374">
        <f t="shared" ref="Q36:Q37" si="73">(P36-10000)*0.2+(10000-M36)*0.15</f>
        <v>1983.2002999999997</v>
      </c>
      <c r="R36" s="373">
        <f t="shared" si="37"/>
        <v>7884.0444120799993</v>
      </c>
      <c r="S36" s="373">
        <f t="shared" si="51"/>
        <v>29798.403599999994</v>
      </c>
      <c r="T36" s="376">
        <f>(S36-25000)*0.27+(25000-P36)*0.2</f>
        <v>2322.4484919999995</v>
      </c>
      <c r="U36" s="373">
        <f t="shared" si="38"/>
        <v>7544.7962200799993</v>
      </c>
      <c r="V36" s="373">
        <f t="shared" si="53"/>
        <v>39731.204799999992</v>
      </c>
      <c r="W36" s="376">
        <f t="shared" si="54"/>
        <v>2681.8563239999999</v>
      </c>
      <c r="X36" s="373">
        <f t="shared" si="39"/>
        <v>7185.3883880799985</v>
      </c>
      <c r="Y36" s="373">
        <f t="shared" si="55"/>
        <v>49664.005999999994</v>
      </c>
      <c r="Z36" s="376">
        <f t="shared" si="66"/>
        <v>2681.8563239999999</v>
      </c>
      <c r="AA36" s="373">
        <f t="shared" si="40"/>
        <v>7185.3883880799985</v>
      </c>
      <c r="AB36" s="373">
        <f t="shared" si="56"/>
        <v>59596.807199999988</v>
      </c>
      <c r="AC36" s="376">
        <f t="shared" si="28"/>
        <v>2681.8563239999999</v>
      </c>
      <c r="AD36" s="373">
        <f t="shared" si="41"/>
        <v>7185.3883880799985</v>
      </c>
      <c r="AE36" s="373">
        <f t="shared" si="57"/>
        <v>69529.608399999983</v>
      </c>
      <c r="AF36" s="376">
        <f t="shared" si="71"/>
        <v>2681.8563239999999</v>
      </c>
      <c r="AG36" s="373">
        <f t="shared" si="42"/>
        <v>7185.3883880799985</v>
      </c>
      <c r="AH36" s="373">
        <f t="shared" si="58"/>
        <v>79462.409599999984</v>
      </c>
      <c r="AI36" s="376">
        <f>H36*0.27</f>
        <v>2681.8563239999999</v>
      </c>
      <c r="AJ36" s="373">
        <f t="shared" si="43"/>
        <v>7185.3883880799985</v>
      </c>
      <c r="AK36" s="373">
        <f t="shared" si="59"/>
        <v>89395.210799999986</v>
      </c>
      <c r="AL36" s="376">
        <f t="shared" ref="AL36:AL37" si="74">H36*0.27</f>
        <v>2681.8563239999999</v>
      </c>
      <c r="AM36" s="373">
        <f t="shared" si="45"/>
        <v>7185.3883880799985</v>
      </c>
      <c r="AN36" s="373">
        <f t="shared" si="60"/>
        <v>99328.011999999988</v>
      </c>
      <c r="AO36" s="377">
        <f>(AN36-88000)*0.35+(88000-AK36)*0.27</f>
        <v>3588.097283999999</v>
      </c>
      <c r="AP36" s="373">
        <f t="shared" si="46"/>
        <v>8248.5040514799985</v>
      </c>
      <c r="AQ36" s="373">
        <f t="shared" si="61"/>
        <v>109260.81319999998</v>
      </c>
      <c r="AR36" s="377">
        <f t="shared" si="62"/>
        <v>3476.480419999999</v>
      </c>
      <c r="AS36" s="373">
        <f t="shared" si="47"/>
        <v>6390.7642920799999</v>
      </c>
      <c r="AT36" s="373">
        <f t="shared" si="63"/>
        <v>119193.61439999998</v>
      </c>
      <c r="AU36" s="377">
        <f t="shared" si="64"/>
        <v>3476.480419999999</v>
      </c>
      <c r="AV36" s="373">
        <f t="shared" si="48"/>
        <v>6390.7642920799999</v>
      </c>
      <c r="AW36" s="292"/>
    </row>
    <row r="37" spans="1:49" ht="28.5" x14ac:dyDescent="0.45">
      <c r="A37" s="716"/>
      <c r="B37" s="347" t="s">
        <v>224</v>
      </c>
      <c r="C37" s="283">
        <v>300</v>
      </c>
      <c r="D37" s="238">
        <v>4996.0199999999995</v>
      </c>
      <c r="E37" s="238">
        <v>9992.0399999999991</v>
      </c>
      <c r="F37" s="238">
        <f t="shared" si="49"/>
        <v>14988.059999999998</v>
      </c>
      <c r="G37" s="233">
        <v>359</v>
      </c>
      <c r="H37" s="353">
        <f t="shared" si="65"/>
        <v>6835.2687999999998</v>
      </c>
      <c r="I37" s="363">
        <v>0.22</v>
      </c>
      <c r="J37" s="362">
        <v>5000</v>
      </c>
      <c r="K37" s="361">
        <f t="shared" si="26"/>
        <v>5151.0319428700004</v>
      </c>
      <c r="L37" s="372">
        <f t="shared" si="12"/>
        <v>45.112774080000001</v>
      </c>
      <c r="M37" s="373">
        <f t="shared" si="13"/>
        <v>6835.2687999999998</v>
      </c>
      <c r="N37" s="378">
        <f t="shared" si="72"/>
        <v>1025.2903199999998</v>
      </c>
      <c r="O37" s="373">
        <f t="shared" si="36"/>
        <v>5764.8657059199995</v>
      </c>
      <c r="P37" s="373">
        <f t="shared" si="14"/>
        <v>13670.5376</v>
      </c>
      <c r="Q37" s="374">
        <f t="shared" si="73"/>
        <v>1208.8172</v>
      </c>
      <c r="R37" s="373">
        <f t="shared" si="37"/>
        <v>5581.3388259200001</v>
      </c>
      <c r="S37" s="373">
        <f t="shared" si="51"/>
        <v>20505.806400000001</v>
      </c>
      <c r="T37" s="374">
        <f>M37*0.2</f>
        <v>1367.05376</v>
      </c>
      <c r="U37" s="373">
        <f t="shared" si="38"/>
        <v>5423.1022659199998</v>
      </c>
      <c r="V37" s="373">
        <f t="shared" si="53"/>
        <v>27341.075199999999</v>
      </c>
      <c r="W37" s="376">
        <f>(V37-25000)*0.27+(25000-S37)*0.2</f>
        <v>1530.9290239999996</v>
      </c>
      <c r="X37" s="373">
        <f t="shared" si="39"/>
        <v>5259.2270019200005</v>
      </c>
      <c r="Y37" s="373">
        <f t="shared" si="55"/>
        <v>34176.343999999997</v>
      </c>
      <c r="Z37" s="376">
        <f t="shared" si="66"/>
        <v>1845.5225760000001</v>
      </c>
      <c r="AA37" s="373">
        <f t="shared" si="40"/>
        <v>4944.6334499199993</v>
      </c>
      <c r="AB37" s="373">
        <f t="shared" si="56"/>
        <v>41011.612800000003</v>
      </c>
      <c r="AC37" s="376">
        <f t="shared" si="28"/>
        <v>1845.5225760000001</v>
      </c>
      <c r="AD37" s="373">
        <f t="shared" si="41"/>
        <v>4944.6334499199993</v>
      </c>
      <c r="AE37" s="373">
        <f t="shared" si="57"/>
        <v>47846.881600000001</v>
      </c>
      <c r="AF37" s="376">
        <f t="shared" si="71"/>
        <v>1845.5225760000001</v>
      </c>
      <c r="AG37" s="373">
        <f t="shared" si="42"/>
        <v>4944.6334499199993</v>
      </c>
      <c r="AH37" s="373">
        <f t="shared" si="58"/>
        <v>54682.150399999999</v>
      </c>
      <c r="AI37" s="376">
        <f>H37*0.27</f>
        <v>1845.5225760000001</v>
      </c>
      <c r="AJ37" s="373">
        <f t="shared" si="43"/>
        <v>4944.6334499199993</v>
      </c>
      <c r="AK37" s="373">
        <f t="shared" si="59"/>
        <v>61517.419199999997</v>
      </c>
      <c r="AL37" s="376">
        <f t="shared" si="74"/>
        <v>1845.5225760000001</v>
      </c>
      <c r="AM37" s="373">
        <f t="shared" si="45"/>
        <v>4944.6334499199993</v>
      </c>
      <c r="AN37" s="373">
        <f t="shared" si="60"/>
        <v>68352.687999999995</v>
      </c>
      <c r="AO37" s="376">
        <f>H37*0.27</f>
        <v>1845.5225760000001</v>
      </c>
      <c r="AP37" s="373">
        <f t="shared" si="46"/>
        <v>5171.4153653199992</v>
      </c>
      <c r="AQ37" s="373">
        <f t="shared" si="61"/>
        <v>75187.9568</v>
      </c>
      <c r="AR37" s="376">
        <f>H37*0.27</f>
        <v>1845.5225760000001</v>
      </c>
      <c r="AS37" s="373">
        <f t="shared" si="47"/>
        <v>4944.6334499199993</v>
      </c>
      <c r="AT37" s="373">
        <f t="shared" si="63"/>
        <v>82023.225600000005</v>
      </c>
      <c r="AU37" s="376">
        <f>H37*0.27</f>
        <v>1845.5225760000001</v>
      </c>
      <c r="AV37" s="373">
        <f t="shared" si="48"/>
        <v>4944.6334499199993</v>
      </c>
      <c r="AW37" s="292"/>
    </row>
    <row r="38" spans="1:49" ht="28.5" x14ac:dyDescent="0.45">
      <c r="A38" s="716" t="s">
        <v>29</v>
      </c>
      <c r="B38" s="368" t="s">
        <v>221</v>
      </c>
      <c r="C38" s="231">
        <v>600</v>
      </c>
      <c r="D38" s="234">
        <v>4996.0199999999995</v>
      </c>
      <c r="E38" s="234">
        <v>19984.079999999998</v>
      </c>
      <c r="F38" s="234">
        <f t="shared" si="49"/>
        <v>24980.1</v>
      </c>
      <c r="G38" s="233">
        <v>359</v>
      </c>
      <c r="H38" s="353">
        <f t="shared" si="65"/>
        <v>18625.875999999997</v>
      </c>
      <c r="I38" s="363">
        <v>0.7</v>
      </c>
      <c r="J38" s="362">
        <v>12500</v>
      </c>
      <c r="K38" s="361">
        <f t="shared" si="26"/>
        <v>13166.414946683333</v>
      </c>
      <c r="L38" s="372">
        <f t="shared" si="12"/>
        <v>122.93078159999997</v>
      </c>
      <c r="M38" s="373">
        <f t="shared" si="13"/>
        <v>18625.875999999997</v>
      </c>
      <c r="N38" s="374">
        <f t="shared" si="50"/>
        <v>3225.1751999999997</v>
      </c>
      <c r="O38" s="373">
        <f t="shared" si="36"/>
        <v>15277.770018399997</v>
      </c>
      <c r="P38" s="373">
        <f t="shared" si="14"/>
        <v>37251.751999999993</v>
      </c>
      <c r="Q38" s="376">
        <f>(P38-25000)*0.27+(25000-M38)*0.2</f>
        <v>4582.7978399999993</v>
      </c>
      <c r="R38" s="373">
        <f t="shared" si="37"/>
        <v>13920.147378399997</v>
      </c>
      <c r="S38" s="373">
        <f t="shared" si="51"/>
        <v>55877.62799999999</v>
      </c>
      <c r="T38" s="376">
        <f t="shared" ref="T38:T40" si="75">M38*0.27</f>
        <v>5028.9865199999995</v>
      </c>
      <c r="U38" s="373">
        <f t="shared" si="38"/>
        <v>13473.958698399998</v>
      </c>
      <c r="V38" s="373">
        <f t="shared" si="53"/>
        <v>74503.503999999986</v>
      </c>
      <c r="W38" s="376">
        <f t="shared" si="54"/>
        <v>5028.9865199999995</v>
      </c>
      <c r="X38" s="373">
        <f t="shared" si="39"/>
        <v>13473.958698399998</v>
      </c>
      <c r="Y38" s="373">
        <f t="shared" si="55"/>
        <v>93129.379999999976</v>
      </c>
      <c r="Z38" s="377">
        <f>(Y38-88000)*0.35+(88000-V38)*0.27</f>
        <v>5439.3369199999952</v>
      </c>
      <c r="AA38" s="373">
        <f t="shared" si="40"/>
        <v>13063.608298400002</v>
      </c>
      <c r="AB38" s="373">
        <f t="shared" si="56"/>
        <v>111755.25599999998</v>
      </c>
      <c r="AC38" s="377">
        <f>H38*0.35</f>
        <v>6519.0565999999981</v>
      </c>
      <c r="AD38" s="373">
        <f t="shared" si="41"/>
        <v>11983.888618399998</v>
      </c>
      <c r="AE38" s="373">
        <f t="shared" si="57"/>
        <v>130381.13199999998</v>
      </c>
      <c r="AF38" s="377">
        <f>H38*0.35</f>
        <v>6519.0565999999981</v>
      </c>
      <c r="AG38" s="373">
        <f t="shared" si="42"/>
        <v>11983.888618399998</v>
      </c>
      <c r="AH38" s="373">
        <f t="shared" si="58"/>
        <v>149007.00799999997</v>
      </c>
      <c r="AI38" s="377">
        <f>H38*0.35</f>
        <v>6519.0565999999981</v>
      </c>
      <c r="AJ38" s="373">
        <f t="shared" si="43"/>
        <v>11983.888618399998</v>
      </c>
      <c r="AK38" s="373">
        <f t="shared" si="59"/>
        <v>167632.88399999996</v>
      </c>
      <c r="AL38" s="377">
        <f>H38*0.35</f>
        <v>6519.0565999999981</v>
      </c>
      <c r="AM38" s="373">
        <f t="shared" si="45"/>
        <v>11983.888618399998</v>
      </c>
      <c r="AN38" s="373">
        <f t="shared" si="60"/>
        <v>186258.75999999995</v>
      </c>
      <c r="AO38" s="377">
        <f>H38*0.35</f>
        <v>6519.0565999999981</v>
      </c>
      <c r="AP38" s="373">
        <f t="shared" si="46"/>
        <v>16884.204557799996</v>
      </c>
      <c r="AQ38" s="373">
        <f t="shared" si="61"/>
        <v>204884.63599999997</v>
      </c>
      <c r="AR38" s="377">
        <f t="shared" ref="AR38:AR44" si="76">H38*0.35</f>
        <v>6519.0565999999981</v>
      </c>
      <c r="AS38" s="373">
        <f t="shared" si="47"/>
        <v>11983.888618399998</v>
      </c>
      <c r="AT38" s="373">
        <f t="shared" si="63"/>
        <v>223510.51199999996</v>
      </c>
      <c r="AU38" s="377">
        <f t="shared" ref="AU38:AU44" si="77">H38*0.35</f>
        <v>6519.0565999999981</v>
      </c>
      <c r="AV38" s="373">
        <f t="shared" si="48"/>
        <v>11983.888618399998</v>
      </c>
      <c r="AW38" s="292"/>
    </row>
    <row r="39" spans="1:49" ht="28.5" x14ac:dyDescent="0.45">
      <c r="A39" s="716"/>
      <c r="B39" s="368" t="s">
        <v>222</v>
      </c>
      <c r="C39" s="231">
        <v>600</v>
      </c>
      <c r="D39" s="234">
        <v>4996.0199999999995</v>
      </c>
      <c r="E39" s="234">
        <v>19984.079999999998</v>
      </c>
      <c r="F39" s="234">
        <f t="shared" si="49"/>
        <v>24980.1</v>
      </c>
      <c r="G39" s="233">
        <v>359</v>
      </c>
      <c r="H39" s="353">
        <f t="shared" si="65"/>
        <v>11431.607199999999</v>
      </c>
      <c r="I39" s="363">
        <v>0.34</v>
      </c>
      <c r="J39" s="362">
        <v>8000</v>
      </c>
      <c r="K39" s="361">
        <f t="shared" si="26"/>
        <v>8327.7895607633309</v>
      </c>
      <c r="L39" s="372">
        <f t="shared" si="12"/>
        <v>75.448607519999996</v>
      </c>
      <c r="M39" s="373">
        <f t="shared" si="13"/>
        <v>11431.607199999999</v>
      </c>
      <c r="N39" s="374">
        <f t="shared" si="50"/>
        <v>1786.3214399999997</v>
      </c>
      <c r="O39" s="373">
        <f t="shared" si="36"/>
        <v>9569.8371524799986</v>
      </c>
      <c r="P39" s="373">
        <f t="shared" si="14"/>
        <v>22863.214399999997</v>
      </c>
      <c r="Q39" s="374">
        <f>H39*0.2</f>
        <v>2286.3214399999997</v>
      </c>
      <c r="R39" s="373">
        <f t="shared" si="37"/>
        <v>9069.8371524799986</v>
      </c>
      <c r="S39" s="373">
        <f t="shared" si="51"/>
        <v>34294.821599999996</v>
      </c>
      <c r="T39" s="376">
        <f>(S39-25000)*0.27+(25000-P39)*0.2</f>
        <v>2936.9589519999995</v>
      </c>
      <c r="U39" s="373">
        <f t="shared" si="38"/>
        <v>8419.1996404799993</v>
      </c>
      <c r="V39" s="373">
        <f t="shared" si="53"/>
        <v>45726.428799999994</v>
      </c>
      <c r="W39" s="376">
        <f t="shared" si="54"/>
        <v>3086.5339439999998</v>
      </c>
      <c r="X39" s="373">
        <f t="shared" si="39"/>
        <v>8269.6246484799995</v>
      </c>
      <c r="Y39" s="373">
        <f t="shared" si="55"/>
        <v>57158.035999999993</v>
      </c>
      <c r="Z39" s="376">
        <f t="shared" ref="Z39:Z49" si="78">H39*0.27</f>
        <v>3086.5339439999998</v>
      </c>
      <c r="AA39" s="373">
        <f t="shared" si="40"/>
        <v>8269.6246484799995</v>
      </c>
      <c r="AB39" s="373">
        <f t="shared" si="56"/>
        <v>68589.643199999991</v>
      </c>
      <c r="AC39" s="376">
        <f t="shared" si="28"/>
        <v>3086.5339439999998</v>
      </c>
      <c r="AD39" s="373">
        <f t="shared" si="41"/>
        <v>8269.6246484799995</v>
      </c>
      <c r="AE39" s="373">
        <f t="shared" si="57"/>
        <v>80021.25039999999</v>
      </c>
      <c r="AF39" s="376">
        <f t="shared" si="71"/>
        <v>3086.5339439999998</v>
      </c>
      <c r="AG39" s="373">
        <f t="shared" si="42"/>
        <v>8269.6246484799995</v>
      </c>
      <c r="AH39" s="373">
        <f t="shared" si="58"/>
        <v>91452.857599999988</v>
      </c>
      <c r="AI39" s="377">
        <f>(AH39-88000)*0.35+(88000-AE39)*0.27</f>
        <v>3362.7625519999988</v>
      </c>
      <c r="AJ39" s="373">
        <f t="shared" si="43"/>
        <v>7993.39604048</v>
      </c>
      <c r="AK39" s="373">
        <f t="shared" si="59"/>
        <v>102884.46479999999</v>
      </c>
      <c r="AL39" s="377">
        <f>H39*0.35</f>
        <v>4001.062519999999</v>
      </c>
      <c r="AM39" s="373">
        <f t="shared" si="45"/>
        <v>7355.0960724799988</v>
      </c>
      <c r="AN39" s="373">
        <f t="shared" si="60"/>
        <v>114316.07199999999</v>
      </c>
      <c r="AO39" s="377">
        <f>H39*0.35</f>
        <v>4001.062519999999</v>
      </c>
      <c r="AP39" s="373">
        <f t="shared" si="46"/>
        <v>9737.4179318799979</v>
      </c>
      <c r="AQ39" s="373">
        <f t="shared" si="61"/>
        <v>125747.67919999998</v>
      </c>
      <c r="AR39" s="377">
        <f t="shared" si="76"/>
        <v>4001.062519999999</v>
      </c>
      <c r="AS39" s="373">
        <f t="shared" si="47"/>
        <v>7355.0960724799988</v>
      </c>
      <c r="AT39" s="373">
        <f t="shared" si="63"/>
        <v>137179.28639999998</v>
      </c>
      <c r="AU39" s="377">
        <f t="shared" si="77"/>
        <v>4001.062519999999</v>
      </c>
      <c r="AV39" s="373">
        <f t="shared" si="48"/>
        <v>7355.0960724799988</v>
      </c>
      <c r="AW39" s="292"/>
    </row>
    <row r="40" spans="1:49" ht="28.5" x14ac:dyDescent="0.45">
      <c r="A40" s="716"/>
      <c r="B40" s="347" t="s">
        <v>32</v>
      </c>
      <c r="C40" s="283">
        <v>450</v>
      </c>
      <c r="D40" s="238">
        <v>4996.0199999999995</v>
      </c>
      <c r="E40" s="238">
        <v>14988.06</v>
      </c>
      <c r="F40" s="238">
        <f t="shared" si="49"/>
        <v>19984.079999999998</v>
      </c>
      <c r="G40" s="233">
        <v>359</v>
      </c>
      <c r="H40" s="353">
        <f t="shared" si="65"/>
        <v>13779.7366</v>
      </c>
      <c r="I40" s="363">
        <v>0.61</v>
      </c>
      <c r="J40" s="362">
        <v>9500</v>
      </c>
      <c r="K40" s="361">
        <f t="shared" si="26"/>
        <v>9907.0631242233358</v>
      </c>
      <c r="L40" s="372">
        <f t="shared" si="12"/>
        <v>90.946261559999996</v>
      </c>
      <c r="M40" s="373">
        <f t="shared" si="13"/>
        <v>13779.7366</v>
      </c>
      <c r="N40" s="374">
        <f t="shared" si="50"/>
        <v>2255.9473200000002</v>
      </c>
      <c r="O40" s="373">
        <f t="shared" si="36"/>
        <v>11432.843018439999</v>
      </c>
      <c r="P40" s="373">
        <f t="shared" si="14"/>
        <v>27559.4732</v>
      </c>
      <c r="Q40" s="376">
        <f>(P40-25000)*0.27+(25000-M40)*0.2</f>
        <v>2935.1104440000004</v>
      </c>
      <c r="R40" s="373">
        <f t="shared" si="37"/>
        <v>10753.67989444</v>
      </c>
      <c r="S40" s="373">
        <f t="shared" si="51"/>
        <v>41339.209799999997</v>
      </c>
      <c r="T40" s="376">
        <f t="shared" si="75"/>
        <v>3720.5288820000001</v>
      </c>
      <c r="U40" s="373">
        <f t="shared" si="38"/>
        <v>9968.2614564399992</v>
      </c>
      <c r="V40" s="373">
        <f t="shared" si="53"/>
        <v>55118.946400000001</v>
      </c>
      <c r="W40" s="376">
        <f t="shared" si="54"/>
        <v>3720.5288820000001</v>
      </c>
      <c r="X40" s="373">
        <f t="shared" si="39"/>
        <v>9968.2614564399992</v>
      </c>
      <c r="Y40" s="373">
        <f t="shared" si="55"/>
        <v>68898.683000000005</v>
      </c>
      <c r="Z40" s="376">
        <f t="shared" si="78"/>
        <v>3720.5288820000001</v>
      </c>
      <c r="AA40" s="373">
        <f t="shared" si="40"/>
        <v>9968.2614564399992</v>
      </c>
      <c r="AB40" s="373">
        <f t="shared" si="56"/>
        <v>82678.419599999994</v>
      </c>
      <c r="AC40" s="376">
        <f t="shared" si="28"/>
        <v>3720.5288820000001</v>
      </c>
      <c r="AD40" s="373">
        <f t="shared" si="41"/>
        <v>9968.2614564399992</v>
      </c>
      <c r="AE40" s="373">
        <f t="shared" si="57"/>
        <v>96458.156199999998</v>
      </c>
      <c r="AF40" s="377">
        <f>(AE40-88000)*0.35+(88000-AB40)*0.27</f>
        <v>4397.1813780000011</v>
      </c>
      <c r="AG40" s="373">
        <f t="shared" si="42"/>
        <v>9291.6089604399986</v>
      </c>
      <c r="AH40" s="373">
        <f t="shared" si="58"/>
        <v>110237.8928</v>
      </c>
      <c r="AI40" s="377">
        <f>H40*0.35</f>
        <v>4822.9078099999997</v>
      </c>
      <c r="AJ40" s="373">
        <f t="shared" si="43"/>
        <v>8865.8825284400009</v>
      </c>
      <c r="AK40" s="373">
        <f t="shared" si="59"/>
        <v>124017.62940000001</v>
      </c>
      <c r="AL40" s="377">
        <f>H40*0.35</f>
        <v>4822.9078099999997</v>
      </c>
      <c r="AM40" s="373">
        <f t="shared" si="45"/>
        <v>8865.8825284400009</v>
      </c>
      <c r="AN40" s="373">
        <f t="shared" si="60"/>
        <v>137797.36600000001</v>
      </c>
      <c r="AO40" s="377">
        <f>H40*0.35</f>
        <v>4822.9078099999997</v>
      </c>
      <c r="AP40" s="373">
        <f t="shared" si="46"/>
        <v>12070.049677839999</v>
      </c>
      <c r="AQ40" s="373">
        <f t="shared" si="61"/>
        <v>151577.10260000001</v>
      </c>
      <c r="AR40" s="377">
        <f t="shared" si="76"/>
        <v>4822.9078099999997</v>
      </c>
      <c r="AS40" s="373">
        <f t="shared" si="47"/>
        <v>8865.8825284400009</v>
      </c>
      <c r="AT40" s="373">
        <f t="shared" si="63"/>
        <v>165356.83919999999</v>
      </c>
      <c r="AU40" s="377">
        <f t="shared" si="77"/>
        <v>4822.9078099999997</v>
      </c>
      <c r="AV40" s="373">
        <f t="shared" si="48"/>
        <v>8865.8825284400009</v>
      </c>
      <c r="AW40" s="292"/>
    </row>
    <row r="41" spans="1:49" ht="28.5" x14ac:dyDescent="0.45">
      <c r="A41" s="716"/>
      <c r="B41" s="347" t="s">
        <v>237</v>
      </c>
      <c r="C41" s="283">
        <v>450</v>
      </c>
      <c r="D41" s="238">
        <v>4996.0199999999995</v>
      </c>
      <c r="E41" s="238">
        <v>14988.06</v>
      </c>
      <c r="F41" s="238">
        <f t="shared" si="49"/>
        <v>19984.079999999998</v>
      </c>
      <c r="G41" s="233">
        <v>359</v>
      </c>
      <c r="H41" s="353">
        <f t="shared" si="65"/>
        <v>12280.9306</v>
      </c>
      <c r="I41" s="363">
        <v>0.51</v>
      </c>
      <c r="J41" s="362">
        <v>8500</v>
      </c>
      <c r="K41" s="361">
        <f t="shared" si="26"/>
        <v>8899.0161688233329</v>
      </c>
      <c r="L41" s="372">
        <f t="shared" si="12"/>
        <v>81.054141959999995</v>
      </c>
      <c r="M41" s="373">
        <f t="shared" si="13"/>
        <v>12280.9306</v>
      </c>
      <c r="N41" s="374">
        <f t="shared" si="50"/>
        <v>1956.1861199999998</v>
      </c>
      <c r="O41" s="373">
        <f t="shared" si="36"/>
        <v>10243.69033804</v>
      </c>
      <c r="P41" s="373">
        <f t="shared" si="14"/>
        <v>24561.861199999999</v>
      </c>
      <c r="Q41" s="374">
        <f>H41*0.2</f>
        <v>2456.1861200000003</v>
      </c>
      <c r="R41" s="373">
        <f t="shared" si="37"/>
        <v>9743.6903380399999</v>
      </c>
      <c r="S41" s="373">
        <f t="shared" si="51"/>
        <v>36842.791799999999</v>
      </c>
      <c r="T41" s="376">
        <f>(S41-25000)*0.27+(25000-P41)*0.2</f>
        <v>3285.1815460000003</v>
      </c>
      <c r="U41" s="373">
        <f t="shared" si="38"/>
        <v>8914.6949120400004</v>
      </c>
      <c r="V41" s="373">
        <f t="shared" si="53"/>
        <v>49123.722399999999</v>
      </c>
      <c r="W41" s="376">
        <f t="shared" si="54"/>
        <v>3315.8512620000001</v>
      </c>
      <c r="X41" s="373">
        <f t="shared" si="39"/>
        <v>8884.0251960400001</v>
      </c>
      <c r="Y41" s="373">
        <f t="shared" si="55"/>
        <v>61404.652999999998</v>
      </c>
      <c r="Z41" s="376">
        <f t="shared" si="78"/>
        <v>3315.8512620000001</v>
      </c>
      <c r="AA41" s="373">
        <f t="shared" si="40"/>
        <v>8884.0251960400001</v>
      </c>
      <c r="AB41" s="373">
        <f t="shared" si="56"/>
        <v>73685.583599999998</v>
      </c>
      <c r="AC41" s="376">
        <f t="shared" si="28"/>
        <v>3315.8512620000001</v>
      </c>
      <c r="AD41" s="373">
        <f t="shared" si="41"/>
        <v>8884.0251960400001</v>
      </c>
      <c r="AE41" s="373">
        <f t="shared" si="57"/>
        <v>85966.514200000005</v>
      </c>
      <c r="AF41" s="376">
        <f t="shared" si="71"/>
        <v>3315.8512620000001</v>
      </c>
      <c r="AG41" s="373">
        <f t="shared" si="42"/>
        <v>8884.0251960400001</v>
      </c>
      <c r="AH41" s="373">
        <f t="shared" si="58"/>
        <v>98247.444799999997</v>
      </c>
      <c r="AI41" s="377">
        <f>(AH41-88000)*0.35+(88000-AE41)*0.27</f>
        <v>4135.6468459999978</v>
      </c>
      <c r="AJ41" s="373">
        <f t="shared" si="43"/>
        <v>8064.2296120400024</v>
      </c>
      <c r="AK41" s="373">
        <f t="shared" si="59"/>
        <v>110528.37539999999</v>
      </c>
      <c r="AL41" s="377">
        <f>H41*0.35</f>
        <v>4298.3257099999992</v>
      </c>
      <c r="AM41" s="373">
        <f t="shared" si="45"/>
        <v>7901.5507480400011</v>
      </c>
      <c r="AN41" s="373">
        <f t="shared" si="60"/>
        <v>122809.306</v>
      </c>
      <c r="AO41" s="377">
        <f>H41*0.35</f>
        <v>4298.3257099999992</v>
      </c>
      <c r="AP41" s="373">
        <f t="shared" si="46"/>
        <v>10581.13579744</v>
      </c>
      <c r="AQ41" s="373">
        <f t="shared" si="61"/>
        <v>135090.2366</v>
      </c>
      <c r="AR41" s="377">
        <f t="shared" si="76"/>
        <v>4298.3257099999992</v>
      </c>
      <c r="AS41" s="373">
        <f t="shared" si="47"/>
        <v>7901.5507480400011</v>
      </c>
      <c r="AT41" s="373">
        <f t="shared" si="63"/>
        <v>147371.1672</v>
      </c>
      <c r="AU41" s="377">
        <f t="shared" si="77"/>
        <v>4298.3257099999992</v>
      </c>
      <c r="AV41" s="373">
        <f t="shared" si="48"/>
        <v>7901.5507480400011</v>
      </c>
      <c r="AW41" s="292"/>
    </row>
    <row r="42" spans="1:49" ht="28.5" x14ac:dyDescent="0.45">
      <c r="A42" s="716"/>
      <c r="B42" s="347" t="s">
        <v>225</v>
      </c>
      <c r="C42" s="283">
        <v>450</v>
      </c>
      <c r="D42" s="238">
        <v>4996.0199999999995</v>
      </c>
      <c r="E42" s="238">
        <v>14988.06</v>
      </c>
      <c r="F42" s="238">
        <f t="shared" si="49"/>
        <v>19984.079999999998</v>
      </c>
      <c r="G42" s="233">
        <v>359</v>
      </c>
      <c r="H42" s="353">
        <f t="shared" si="65"/>
        <v>11081.8858</v>
      </c>
      <c r="I42" s="363">
        <v>0.43</v>
      </c>
      <c r="J42" s="362">
        <v>7750</v>
      </c>
      <c r="K42" s="361">
        <f t="shared" si="26"/>
        <v>8092.5786045033337</v>
      </c>
      <c r="L42" s="372">
        <f t="shared" si="12"/>
        <v>73.140446280000006</v>
      </c>
      <c r="M42" s="373">
        <f t="shared" si="13"/>
        <v>11081.8858</v>
      </c>
      <c r="N42" s="374">
        <f t="shared" si="50"/>
        <v>1716.37716</v>
      </c>
      <c r="O42" s="373">
        <f t="shared" si="36"/>
        <v>9292.3681937199999</v>
      </c>
      <c r="P42" s="373">
        <f t="shared" si="14"/>
        <v>22163.7716</v>
      </c>
      <c r="Q42" s="374">
        <f>H42*0.2</f>
        <v>2216.37716</v>
      </c>
      <c r="R42" s="373">
        <f t="shared" si="37"/>
        <v>8792.3681937199999</v>
      </c>
      <c r="S42" s="373">
        <f t="shared" si="51"/>
        <v>33245.657399999996</v>
      </c>
      <c r="T42" s="376">
        <f>(S42-25000)*0.27+(25000-P42)*0.2</f>
        <v>2793.5731779999992</v>
      </c>
      <c r="U42" s="373">
        <f t="shared" si="38"/>
        <v>8215.1721757200012</v>
      </c>
      <c r="V42" s="373">
        <f t="shared" si="53"/>
        <v>44327.5432</v>
      </c>
      <c r="W42" s="376">
        <f t="shared" si="54"/>
        <v>2992.1091660000002</v>
      </c>
      <c r="X42" s="373">
        <f t="shared" si="39"/>
        <v>8016.6361877199997</v>
      </c>
      <c r="Y42" s="373">
        <f t="shared" si="55"/>
        <v>55409.429000000004</v>
      </c>
      <c r="Z42" s="376">
        <f t="shared" si="78"/>
        <v>2992.1091660000002</v>
      </c>
      <c r="AA42" s="373">
        <f t="shared" si="40"/>
        <v>8016.6361877199997</v>
      </c>
      <c r="AB42" s="373">
        <f t="shared" si="56"/>
        <v>66491.314799999993</v>
      </c>
      <c r="AC42" s="376">
        <f t="shared" si="28"/>
        <v>2992.1091660000002</v>
      </c>
      <c r="AD42" s="373">
        <f t="shared" si="41"/>
        <v>8016.6361877199997</v>
      </c>
      <c r="AE42" s="373">
        <f t="shared" si="57"/>
        <v>77573.200599999996</v>
      </c>
      <c r="AF42" s="376">
        <f t="shared" si="71"/>
        <v>2992.1091660000002</v>
      </c>
      <c r="AG42" s="373">
        <f t="shared" si="42"/>
        <v>8016.6361877199997</v>
      </c>
      <c r="AH42" s="373">
        <f t="shared" si="58"/>
        <v>88655.0864</v>
      </c>
      <c r="AI42" s="376">
        <f t="shared" ref="AI42:AI53" si="79">H42*0.27</f>
        <v>2992.1091660000002</v>
      </c>
      <c r="AJ42" s="373">
        <f t="shared" si="43"/>
        <v>8016.6361877199997</v>
      </c>
      <c r="AK42" s="373">
        <f t="shared" si="59"/>
        <v>99736.972200000004</v>
      </c>
      <c r="AL42" s="377">
        <f>(AK42-88000)*0.35+(88000-AH42)*0.27</f>
        <v>3931.0669420000008</v>
      </c>
      <c r="AM42" s="373">
        <f t="shared" si="45"/>
        <v>7077.6784117199986</v>
      </c>
      <c r="AN42" s="373">
        <f t="shared" si="60"/>
        <v>110818.85800000001</v>
      </c>
      <c r="AO42" s="377">
        <f>H42*0.35</f>
        <v>3878.6600299999996</v>
      </c>
      <c r="AP42" s="373">
        <f t="shared" si="46"/>
        <v>9390.0046931199995</v>
      </c>
      <c r="AQ42" s="373">
        <f t="shared" si="61"/>
        <v>121900.7438</v>
      </c>
      <c r="AR42" s="377">
        <f t="shared" si="76"/>
        <v>3878.6600299999996</v>
      </c>
      <c r="AS42" s="373">
        <f t="shared" si="47"/>
        <v>7130.0853237200008</v>
      </c>
      <c r="AT42" s="373">
        <f t="shared" si="63"/>
        <v>132982.62959999999</v>
      </c>
      <c r="AU42" s="377">
        <f t="shared" si="77"/>
        <v>3878.6600299999996</v>
      </c>
      <c r="AV42" s="373">
        <f t="shared" si="48"/>
        <v>7130.0853237200008</v>
      </c>
      <c r="AW42" s="292"/>
    </row>
    <row r="43" spans="1:49" ht="28.5" x14ac:dyDescent="0.45">
      <c r="A43" s="716"/>
      <c r="B43" s="347" t="s">
        <v>243</v>
      </c>
      <c r="C43" s="283">
        <v>450</v>
      </c>
      <c r="D43" s="238">
        <v>4996.0199999999995</v>
      </c>
      <c r="E43" s="238">
        <v>14988.06</v>
      </c>
      <c r="F43" s="238">
        <f t="shared" si="49"/>
        <v>19984.079999999998</v>
      </c>
      <c r="G43" s="233">
        <v>359</v>
      </c>
      <c r="H43" s="353">
        <f t="shared" si="65"/>
        <v>9882.8410000000003</v>
      </c>
      <c r="I43" s="363">
        <v>0.35</v>
      </c>
      <c r="J43" s="362">
        <v>7000</v>
      </c>
      <c r="K43" s="361">
        <f t="shared" si="26"/>
        <v>7292.4448335166662</v>
      </c>
      <c r="L43" s="372">
        <f t="shared" si="12"/>
        <v>65.226750600000003</v>
      </c>
      <c r="M43" s="373">
        <f t="shared" si="13"/>
        <v>9882.8410000000003</v>
      </c>
      <c r="N43" s="378">
        <f t="shared" ref="N43:N53" si="80">M43*0.15</f>
        <v>1482.42615</v>
      </c>
      <c r="O43" s="373">
        <f t="shared" si="36"/>
        <v>8335.1880994000003</v>
      </c>
      <c r="P43" s="373">
        <f t="shared" si="14"/>
        <v>19765.682000000001</v>
      </c>
      <c r="Q43" s="374">
        <f t="shared" ref="Q43:Q52" si="81">(P43-10000)*0.2+(10000-M43)*0.15</f>
        <v>1970.7102500000003</v>
      </c>
      <c r="R43" s="373">
        <f t="shared" si="37"/>
        <v>7846.9039993999995</v>
      </c>
      <c r="S43" s="373">
        <f t="shared" si="51"/>
        <v>29648.523000000001</v>
      </c>
      <c r="T43" s="376">
        <f>(S43-25000)*0.27+(25000-P43)*0.2</f>
        <v>2301.9648100000004</v>
      </c>
      <c r="U43" s="373">
        <f t="shared" si="38"/>
        <v>7515.6494393999992</v>
      </c>
      <c r="V43" s="373">
        <f t="shared" si="53"/>
        <v>39531.364000000001</v>
      </c>
      <c r="W43" s="376">
        <f t="shared" si="54"/>
        <v>2668.3670700000002</v>
      </c>
      <c r="X43" s="373">
        <f t="shared" si="39"/>
        <v>7149.2471793999994</v>
      </c>
      <c r="Y43" s="373">
        <f t="shared" si="55"/>
        <v>49414.205000000002</v>
      </c>
      <c r="Z43" s="376">
        <f t="shared" si="78"/>
        <v>2668.3670700000002</v>
      </c>
      <c r="AA43" s="373">
        <f t="shared" si="40"/>
        <v>7149.2471793999994</v>
      </c>
      <c r="AB43" s="373">
        <f t="shared" si="56"/>
        <v>59297.046000000002</v>
      </c>
      <c r="AC43" s="376">
        <f t="shared" si="28"/>
        <v>2668.3670700000002</v>
      </c>
      <c r="AD43" s="373">
        <f t="shared" si="41"/>
        <v>7149.2471793999994</v>
      </c>
      <c r="AE43" s="373">
        <f t="shared" si="57"/>
        <v>69179.887000000002</v>
      </c>
      <c r="AF43" s="376">
        <f t="shared" si="71"/>
        <v>2668.3670700000002</v>
      </c>
      <c r="AG43" s="373">
        <f t="shared" si="42"/>
        <v>7149.2471793999994</v>
      </c>
      <c r="AH43" s="373">
        <f t="shared" si="58"/>
        <v>79062.728000000003</v>
      </c>
      <c r="AI43" s="376">
        <f t="shared" si="79"/>
        <v>2668.3670700000002</v>
      </c>
      <c r="AJ43" s="373">
        <f t="shared" si="43"/>
        <v>7149.2471793999994</v>
      </c>
      <c r="AK43" s="373">
        <f t="shared" si="59"/>
        <v>88945.569000000003</v>
      </c>
      <c r="AL43" s="376">
        <f t="shared" ref="AL43:AL53" si="82">H43*0.27</f>
        <v>2668.3670700000002</v>
      </c>
      <c r="AM43" s="373">
        <f t="shared" si="45"/>
        <v>7149.2471793999994</v>
      </c>
      <c r="AN43" s="373">
        <f t="shared" si="60"/>
        <v>98828.41</v>
      </c>
      <c r="AO43" s="377">
        <f>(AN43-88000)*0.35+(88000-AK43)*0.27</f>
        <v>3534.63987</v>
      </c>
      <c r="AP43" s="373">
        <f t="shared" si="46"/>
        <v>8198.8735887999992</v>
      </c>
      <c r="AQ43" s="373">
        <f t="shared" si="61"/>
        <v>108711.251</v>
      </c>
      <c r="AR43" s="377">
        <f t="shared" si="76"/>
        <v>3458.9943499999999</v>
      </c>
      <c r="AS43" s="373">
        <f t="shared" si="47"/>
        <v>6358.6198993999997</v>
      </c>
      <c r="AT43" s="373">
        <f t="shared" si="63"/>
        <v>118594.092</v>
      </c>
      <c r="AU43" s="377">
        <f t="shared" si="77"/>
        <v>3458.9943499999999</v>
      </c>
      <c r="AV43" s="373">
        <f t="shared" si="48"/>
        <v>6358.6198993999997</v>
      </c>
      <c r="AW43" s="292"/>
    </row>
    <row r="44" spans="1:49" ht="28.5" x14ac:dyDescent="0.45">
      <c r="A44" s="716"/>
      <c r="B44" s="368" t="s">
        <v>226</v>
      </c>
      <c r="C44" s="231">
        <v>200</v>
      </c>
      <c r="D44" s="234">
        <v>4996.0199999999995</v>
      </c>
      <c r="E44" s="234">
        <v>6661.36</v>
      </c>
      <c r="F44" s="234">
        <f t="shared" si="49"/>
        <v>11657.38</v>
      </c>
      <c r="G44" s="233">
        <v>359</v>
      </c>
      <c r="H44" s="353">
        <f t="shared" si="65"/>
        <v>9832.880799999999</v>
      </c>
      <c r="I44" s="363">
        <v>0.78</v>
      </c>
      <c r="J44" s="362">
        <v>7000</v>
      </c>
      <c r="K44" s="361">
        <f t="shared" si="26"/>
        <v>7255.8456563366644</v>
      </c>
      <c r="L44" s="372">
        <f t="shared" si="12"/>
        <v>64.897013279999996</v>
      </c>
      <c r="M44" s="373">
        <f t="shared" si="13"/>
        <v>9832.880799999999</v>
      </c>
      <c r="N44" s="378">
        <f t="shared" si="80"/>
        <v>1474.9321199999997</v>
      </c>
      <c r="O44" s="373">
        <f t="shared" si="36"/>
        <v>8293.051666719999</v>
      </c>
      <c r="P44" s="373">
        <f t="shared" si="14"/>
        <v>19665.761599999998</v>
      </c>
      <c r="Q44" s="374">
        <f t="shared" si="81"/>
        <v>1958.2201999999997</v>
      </c>
      <c r="R44" s="373">
        <f t="shared" si="37"/>
        <v>7809.7635867199988</v>
      </c>
      <c r="S44" s="373">
        <f t="shared" si="51"/>
        <v>29498.642399999997</v>
      </c>
      <c r="T44" s="376">
        <f>(S44-25000)*0.27+(25000-P44)*0.2</f>
        <v>2281.4811279999999</v>
      </c>
      <c r="U44" s="373">
        <f t="shared" si="38"/>
        <v>7486.5026587199991</v>
      </c>
      <c r="V44" s="373">
        <f t="shared" si="53"/>
        <v>39331.523199999996</v>
      </c>
      <c r="W44" s="376">
        <f t="shared" si="54"/>
        <v>2654.8778159999997</v>
      </c>
      <c r="X44" s="373">
        <f t="shared" si="39"/>
        <v>7113.1059707199984</v>
      </c>
      <c r="Y44" s="373">
        <f t="shared" si="55"/>
        <v>49164.403999999995</v>
      </c>
      <c r="Z44" s="376">
        <f t="shared" si="78"/>
        <v>2654.8778159999997</v>
      </c>
      <c r="AA44" s="373">
        <f t="shared" si="40"/>
        <v>7113.1059707199984</v>
      </c>
      <c r="AB44" s="373">
        <f t="shared" si="56"/>
        <v>58997.284799999994</v>
      </c>
      <c r="AC44" s="376">
        <f t="shared" si="28"/>
        <v>2654.8778159999997</v>
      </c>
      <c r="AD44" s="373">
        <f t="shared" si="41"/>
        <v>7113.1059707199984</v>
      </c>
      <c r="AE44" s="373">
        <f t="shared" si="57"/>
        <v>68830.165599999993</v>
      </c>
      <c r="AF44" s="376">
        <f t="shared" si="71"/>
        <v>2654.8778159999997</v>
      </c>
      <c r="AG44" s="373">
        <f t="shared" si="42"/>
        <v>7113.1059707199984</v>
      </c>
      <c r="AH44" s="373">
        <f t="shared" si="58"/>
        <v>78663.046399999992</v>
      </c>
      <c r="AI44" s="376">
        <f t="shared" si="79"/>
        <v>2654.8778159999997</v>
      </c>
      <c r="AJ44" s="373">
        <f>H44-L44-AI44</f>
        <v>7113.1059707199984</v>
      </c>
      <c r="AK44" s="373">
        <f t="shared" si="59"/>
        <v>88495.927199999991</v>
      </c>
      <c r="AL44" s="376">
        <f t="shared" si="82"/>
        <v>2654.8778159999997</v>
      </c>
      <c r="AM44" s="373">
        <f t="shared" si="45"/>
        <v>7113.1059707199984</v>
      </c>
      <c r="AN44" s="373">
        <f t="shared" si="60"/>
        <v>98328.80799999999</v>
      </c>
      <c r="AO44" s="377">
        <f>(AN44-88000)*0.35+(88000-AK44)*0.27</f>
        <v>3481.1824559999986</v>
      </c>
      <c r="AP44" s="373">
        <f t="shared" si="46"/>
        <v>8149.2431261199981</v>
      </c>
      <c r="AQ44" s="373">
        <f t="shared" si="61"/>
        <v>108161.68879999999</v>
      </c>
      <c r="AR44" s="377">
        <f t="shared" si="76"/>
        <v>3441.5082799999996</v>
      </c>
      <c r="AS44" s="373">
        <f t="shared" si="47"/>
        <v>6326.4755067199985</v>
      </c>
      <c r="AT44" s="373">
        <f t="shared" si="63"/>
        <v>117994.56959999999</v>
      </c>
      <c r="AU44" s="377">
        <f t="shared" si="77"/>
        <v>3441.5082799999996</v>
      </c>
      <c r="AV44" s="373">
        <f t="shared" si="48"/>
        <v>6326.4755067199985</v>
      </c>
      <c r="AW44" s="292"/>
    </row>
    <row r="45" spans="1:49" ht="28.5" x14ac:dyDescent="0.45">
      <c r="A45" s="716"/>
      <c r="B45" s="368" t="s">
        <v>227</v>
      </c>
      <c r="C45" s="231">
        <v>200</v>
      </c>
      <c r="D45" s="234">
        <v>4996.0199999999995</v>
      </c>
      <c r="E45" s="234">
        <v>6661.36</v>
      </c>
      <c r="F45" s="234">
        <f t="shared" si="49"/>
        <v>11657.38</v>
      </c>
      <c r="G45" s="233">
        <v>359</v>
      </c>
      <c r="H45" s="353">
        <f t="shared" si="65"/>
        <v>8300.768</v>
      </c>
      <c r="I45" s="363">
        <v>0.55000000000000004</v>
      </c>
      <c r="J45" s="362">
        <v>6000</v>
      </c>
      <c r="K45" s="361">
        <f t="shared" si="26"/>
        <v>6144.6967028166664</v>
      </c>
      <c r="L45" s="372">
        <f t="shared" si="12"/>
        <v>54.785068799999998</v>
      </c>
      <c r="M45" s="373">
        <f t="shared" si="13"/>
        <v>8300.768</v>
      </c>
      <c r="N45" s="378">
        <f t="shared" si="80"/>
        <v>1245.1152</v>
      </c>
      <c r="O45" s="373">
        <f t="shared" si="36"/>
        <v>7000.8677312</v>
      </c>
      <c r="P45" s="373">
        <f t="shared" si="14"/>
        <v>16601.536</v>
      </c>
      <c r="Q45" s="374">
        <f t="shared" si="81"/>
        <v>1575.1920000000002</v>
      </c>
      <c r="R45" s="373">
        <f t="shared" si="37"/>
        <v>6670.7909312000002</v>
      </c>
      <c r="S45" s="373">
        <f t="shared" si="51"/>
        <v>24902.304</v>
      </c>
      <c r="T45" s="374">
        <f t="shared" ref="T45:T52" si="83">H45*0.2</f>
        <v>1660.1536000000001</v>
      </c>
      <c r="U45" s="373">
        <f t="shared" si="38"/>
        <v>6585.8293312000005</v>
      </c>
      <c r="V45" s="373">
        <f t="shared" si="53"/>
        <v>33203.072</v>
      </c>
      <c r="W45" s="376">
        <f>(V45-25000)*0.27+(25000-S45)*0.2</f>
        <v>2234.3686400000001</v>
      </c>
      <c r="X45" s="373">
        <f t="shared" si="39"/>
        <v>6011.6142911999996</v>
      </c>
      <c r="Y45" s="373">
        <f t="shared" si="55"/>
        <v>41503.839999999997</v>
      </c>
      <c r="Z45" s="376">
        <f t="shared" si="78"/>
        <v>2241.2073600000003</v>
      </c>
      <c r="AA45" s="373">
        <f t="shared" si="40"/>
        <v>6004.7755711999998</v>
      </c>
      <c r="AB45" s="373">
        <f t="shared" si="56"/>
        <v>49804.608</v>
      </c>
      <c r="AC45" s="376">
        <f t="shared" si="28"/>
        <v>2241.2073600000003</v>
      </c>
      <c r="AD45" s="373">
        <f t="shared" si="41"/>
        <v>6004.7755711999998</v>
      </c>
      <c r="AE45" s="373">
        <f t="shared" si="57"/>
        <v>58105.376000000004</v>
      </c>
      <c r="AF45" s="376">
        <f t="shared" si="71"/>
        <v>2241.2073600000003</v>
      </c>
      <c r="AG45" s="373">
        <f t="shared" si="42"/>
        <v>6004.7755711999998</v>
      </c>
      <c r="AH45" s="373">
        <f t="shared" si="58"/>
        <v>66406.144</v>
      </c>
      <c r="AI45" s="376">
        <f t="shared" si="79"/>
        <v>2241.2073600000003</v>
      </c>
      <c r="AJ45" s="373">
        <f>H45-L45-AI45</f>
        <v>6004.7755711999998</v>
      </c>
      <c r="AK45" s="373">
        <f t="shared" si="59"/>
        <v>74706.911999999997</v>
      </c>
      <c r="AL45" s="376">
        <f t="shared" si="82"/>
        <v>2241.2073600000003</v>
      </c>
      <c r="AM45" s="373">
        <f t="shared" si="45"/>
        <v>6004.7755711999998</v>
      </c>
      <c r="AN45" s="373">
        <f t="shared" si="60"/>
        <v>83007.679999999993</v>
      </c>
      <c r="AO45" s="376">
        <f>H45*0.27</f>
        <v>2241.2073600000003</v>
      </c>
      <c r="AP45" s="373">
        <f t="shared" si="46"/>
        <v>6627.2422705999998</v>
      </c>
      <c r="AQ45" s="373">
        <f t="shared" si="61"/>
        <v>91308.448000000004</v>
      </c>
      <c r="AR45" s="377">
        <f>(AQ45-88000)*0.35+(88000-AN45)*0.27</f>
        <v>2505.8832000000029</v>
      </c>
      <c r="AS45" s="373">
        <f t="shared" si="47"/>
        <v>5740.0997311999972</v>
      </c>
      <c r="AT45" s="373">
        <f t="shared" si="63"/>
        <v>99609.216</v>
      </c>
      <c r="AU45" s="377">
        <f>(AT45-88000)*0.35+(88000-AQ45)*0.27</f>
        <v>3169.9446399999988</v>
      </c>
      <c r="AV45" s="373">
        <f t="shared" si="48"/>
        <v>5076.0382912000014</v>
      </c>
      <c r="AW45" s="292"/>
    </row>
    <row r="46" spans="1:49" ht="28.5" x14ac:dyDescent="0.45">
      <c r="A46" s="717" t="s">
        <v>31</v>
      </c>
      <c r="B46" s="350" t="s">
        <v>32</v>
      </c>
      <c r="C46" s="290">
        <v>270</v>
      </c>
      <c r="D46" s="238">
        <v>4996.0199999999995</v>
      </c>
      <c r="E46" s="238">
        <v>8992.8359999999993</v>
      </c>
      <c r="F46" s="238">
        <f t="shared" si="49"/>
        <v>13988.856</v>
      </c>
      <c r="G46" s="233">
        <v>359</v>
      </c>
      <c r="H46" s="353">
        <f t="shared" si="65"/>
        <v>10392.43504</v>
      </c>
      <c r="I46" s="363">
        <v>0.64</v>
      </c>
      <c r="J46" s="362">
        <v>7351</v>
      </c>
      <c r="K46" s="361">
        <f t="shared" si="26"/>
        <v>7628.8770050193334</v>
      </c>
      <c r="L46" s="372">
        <f t="shared" si="12"/>
        <v>68.590071264000002</v>
      </c>
      <c r="M46" s="373">
        <f t="shared" si="13"/>
        <v>10392.43504</v>
      </c>
      <c r="N46" s="374">
        <f t="shared" ref="N46" si="84">(M46-10000)*0.2+10000*0.15</f>
        <v>1578.4870080000001</v>
      </c>
      <c r="O46" s="373">
        <f t="shared" si="36"/>
        <v>8745.3579607360007</v>
      </c>
      <c r="P46" s="373">
        <f t="shared" si="14"/>
        <v>20784.870080000001</v>
      </c>
      <c r="Q46" s="374">
        <f>H46*0.2</f>
        <v>2078.4870080000001</v>
      </c>
      <c r="R46" s="373">
        <f t="shared" si="37"/>
        <v>8245.3579607360007</v>
      </c>
      <c r="S46" s="373">
        <f t="shared" si="51"/>
        <v>31177.305120000001</v>
      </c>
      <c r="T46" s="376">
        <f>(S46-25000)*0.27+(25000-P46)*0.2</f>
        <v>2510.8983664000002</v>
      </c>
      <c r="U46" s="373">
        <f t="shared" si="38"/>
        <v>7812.9466023360001</v>
      </c>
      <c r="V46" s="373">
        <f t="shared" si="53"/>
        <v>41569.740160000001</v>
      </c>
      <c r="W46" s="376">
        <f t="shared" si="54"/>
        <v>2805.9574608000003</v>
      </c>
      <c r="X46" s="373">
        <f t="shared" si="39"/>
        <v>7517.8875079360005</v>
      </c>
      <c r="Y46" s="373">
        <f t="shared" si="55"/>
        <v>51962.175199999998</v>
      </c>
      <c r="Z46" s="376">
        <f t="shared" si="78"/>
        <v>2805.9574608000003</v>
      </c>
      <c r="AA46" s="373">
        <f t="shared" si="40"/>
        <v>7517.8875079360005</v>
      </c>
      <c r="AB46" s="373">
        <f t="shared" si="56"/>
        <v>62354.610240000002</v>
      </c>
      <c r="AC46" s="376">
        <f t="shared" si="28"/>
        <v>2805.9574608000003</v>
      </c>
      <c r="AD46" s="373">
        <f t="shared" si="41"/>
        <v>7517.8875079360005</v>
      </c>
      <c r="AE46" s="373">
        <f t="shared" si="57"/>
        <v>72747.045280000006</v>
      </c>
      <c r="AF46" s="376">
        <f t="shared" si="71"/>
        <v>2805.9574608000003</v>
      </c>
      <c r="AG46" s="373">
        <f t="shared" si="42"/>
        <v>7517.8875079360005</v>
      </c>
      <c r="AH46" s="373">
        <f t="shared" si="58"/>
        <v>83139.480320000002</v>
      </c>
      <c r="AI46" s="376">
        <f t="shared" si="79"/>
        <v>2805.9574608000003</v>
      </c>
      <c r="AJ46" s="373">
        <f t="shared" si="43"/>
        <v>7517.8875079360005</v>
      </c>
      <c r="AK46" s="373">
        <f t="shared" si="59"/>
        <v>93531.915359999999</v>
      </c>
      <c r="AL46" s="377">
        <f>(AK46-88000)*0.35+(88000-AH46)*0.27</f>
        <v>3248.5106895999988</v>
      </c>
      <c r="AM46" s="373">
        <f t="shared" si="45"/>
        <v>7075.3342791360019</v>
      </c>
      <c r="AN46" s="373">
        <f t="shared" si="60"/>
        <v>103924.3504</v>
      </c>
      <c r="AO46" s="377">
        <f>H46*0.35</f>
        <v>3637.3522639999996</v>
      </c>
      <c r="AP46" s="373">
        <f t="shared" si="46"/>
        <v>8705.1043081360003</v>
      </c>
      <c r="AQ46" s="373">
        <f t="shared" si="61"/>
        <v>114316.78544000001</v>
      </c>
      <c r="AR46" s="377">
        <f>H46*0.35</f>
        <v>3637.3522639999996</v>
      </c>
      <c r="AS46" s="373">
        <f t="shared" si="47"/>
        <v>6686.4927047360015</v>
      </c>
      <c r="AT46" s="373">
        <f t="shared" si="63"/>
        <v>124709.22048</v>
      </c>
      <c r="AU46" s="377">
        <f>H46*0.35</f>
        <v>3637.3522639999996</v>
      </c>
      <c r="AV46" s="373">
        <f t="shared" si="48"/>
        <v>6686.4927047360015</v>
      </c>
      <c r="AW46" s="292"/>
    </row>
    <row r="47" spans="1:49" ht="28.5" x14ac:dyDescent="0.45">
      <c r="A47" s="718"/>
      <c r="B47" s="350" t="s">
        <v>225</v>
      </c>
      <c r="C47" s="290">
        <v>270</v>
      </c>
      <c r="D47" s="238">
        <v>4996.0199999999995</v>
      </c>
      <c r="E47" s="238">
        <v>8992.8359999999993</v>
      </c>
      <c r="F47" s="238">
        <f t="shared" si="49"/>
        <v>13988.856</v>
      </c>
      <c r="G47" s="233">
        <v>359</v>
      </c>
      <c r="H47" s="353">
        <f t="shared" si="65"/>
        <v>8324.0827599999993</v>
      </c>
      <c r="I47" s="363">
        <v>0.41</v>
      </c>
      <c r="J47" s="362">
        <v>6000</v>
      </c>
      <c r="K47" s="361">
        <f t="shared" si="26"/>
        <v>6182.2783215006648</v>
      </c>
      <c r="L47" s="372">
        <f t="shared" si="12"/>
        <v>54.938946215999998</v>
      </c>
      <c r="M47" s="373">
        <f t="shared" si="13"/>
        <v>8324.0827599999993</v>
      </c>
      <c r="N47" s="378">
        <f t="shared" si="80"/>
        <v>1248.6124139999999</v>
      </c>
      <c r="O47" s="373">
        <f t="shared" si="36"/>
        <v>7020.5313997839994</v>
      </c>
      <c r="P47" s="373">
        <f t="shared" si="14"/>
        <v>16648.165519999999</v>
      </c>
      <c r="Q47" s="374">
        <f t="shared" si="81"/>
        <v>1581.0206899999998</v>
      </c>
      <c r="R47" s="373">
        <f t="shared" si="37"/>
        <v>6688.1231237840002</v>
      </c>
      <c r="S47" s="373">
        <f t="shared" si="51"/>
        <v>24972.24828</v>
      </c>
      <c r="T47" s="374">
        <f t="shared" si="83"/>
        <v>1664.816552</v>
      </c>
      <c r="U47" s="373">
        <f t="shared" si="38"/>
        <v>6604.3272617839993</v>
      </c>
      <c r="V47" s="373">
        <f t="shared" si="53"/>
        <v>33296.331039999997</v>
      </c>
      <c r="W47" s="376">
        <f>(V47-25000)*0.27+(25000-S47)*0.2</f>
        <v>2245.5597247999995</v>
      </c>
      <c r="X47" s="373">
        <f t="shared" si="39"/>
        <v>6023.5840889840001</v>
      </c>
      <c r="Y47" s="373">
        <f t="shared" si="55"/>
        <v>41620.413799999995</v>
      </c>
      <c r="Z47" s="376">
        <f t="shared" si="78"/>
        <v>2247.5023452</v>
      </c>
      <c r="AA47" s="373">
        <f t="shared" si="40"/>
        <v>6021.6414685839991</v>
      </c>
      <c r="AB47" s="373">
        <f t="shared" si="56"/>
        <v>49944.49656</v>
      </c>
      <c r="AC47" s="376">
        <f t="shared" si="28"/>
        <v>2247.5023452</v>
      </c>
      <c r="AD47" s="373">
        <f t="shared" si="41"/>
        <v>6021.6414685839991</v>
      </c>
      <c r="AE47" s="373">
        <f t="shared" si="57"/>
        <v>58268.579319999997</v>
      </c>
      <c r="AF47" s="376">
        <f t="shared" si="71"/>
        <v>2247.5023452</v>
      </c>
      <c r="AG47" s="373">
        <f t="shared" si="42"/>
        <v>6021.6414685839991</v>
      </c>
      <c r="AH47" s="373">
        <f t="shared" si="58"/>
        <v>66592.662079999995</v>
      </c>
      <c r="AI47" s="376">
        <f t="shared" si="79"/>
        <v>2247.5023452</v>
      </c>
      <c r="AJ47" s="373">
        <f t="shared" si="43"/>
        <v>6021.6414685839991</v>
      </c>
      <c r="AK47" s="373">
        <f t="shared" si="59"/>
        <v>74916.744839999999</v>
      </c>
      <c r="AL47" s="376">
        <f t="shared" si="82"/>
        <v>2247.5023452</v>
      </c>
      <c r="AM47" s="373">
        <f t="shared" si="45"/>
        <v>6021.6414685839991</v>
      </c>
      <c r="AN47" s="373">
        <f t="shared" si="60"/>
        <v>83240.82759999999</v>
      </c>
      <c r="AO47" s="376">
        <f>H47*0.27</f>
        <v>2247.5023452</v>
      </c>
      <c r="AP47" s="373">
        <f t="shared" si="46"/>
        <v>6650.4031531839992</v>
      </c>
      <c r="AQ47" s="373">
        <f t="shared" si="61"/>
        <v>91564.910359999994</v>
      </c>
      <c r="AR47" s="377">
        <f>(AQ47-88000)*0.35+(88000-AN47)*0.27</f>
        <v>2532.6951740000009</v>
      </c>
      <c r="AS47" s="373">
        <f t="shared" si="47"/>
        <v>5736.4486397839992</v>
      </c>
      <c r="AT47" s="373">
        <f t="shared" si="63"/>
        <v>99888.993119999999</v>
      </c>
      <c r="AU47" s="377">
        <f>H47*0.35</f>
        <v>2913.4289659999995</v>
      </c>
      <c r="AV47" s="373">
        <f t="shared" si="48"/>
        <v>5355.7148477840001</v>
      </c>
      <c r="AW47" s="292"/>
    </row>
    <row r="48" spans="1:49" ht="28.5" x14ac:dyDescent="0.45">
      <c r="A48" s="718"/>
      <c r="B48" s="351" t="s">
        <v>226</v>
      </c>
      <c r="C48" s="240">
        <v>180</v>
      </c>
      <c r="D48" s="234">
        <v>4996.0199999999995</v>
      </c>
      <c r="E48" s="234">
        <v>5995.2240000000002</v>
      </c>
      <c r="F48" s="234">
        <f t="shared" si="49"/>
        <v>10991.243999999999</v>
      </c>
      <c r="G48" s="233">
        <v>359</v>
      </c>
      <c r="H48" s="353">
        <f t="shared" si="65"/>
        <v>8773.7245599999987</v>
      </c>
      <c r="I48" s="363">
        <v>0.69</v>
      </c>
      <c r="J48" s="362">
        <v>6300</v>
      </c>
      <c r="K48" s="361">
        <f t="shared" si="26"/>
        <v>6481.6947961206643</v>
      </c>
      <c r="L48" s="372">
        <f t="shared" si="12"/>
        <v>57.906582095999994</v>
      </c>
      <c r="M48" s="373">
        <f t="shared" si="13"/>
        <v>8773.7245599999987</v>
      </c>
      <c r="N48" s="378">
        <f t="shared" si="80"/>
        <v>1316.0586839999999</v>
      </c>
      <c r="O48" s="373">
        <f t="shared" si="36"/>
        <v>7399.7592939039987</v>
      </c>
      <c r="P48" s="373">
        <f t="shared" si="14"/>
        <v>17547.449119999997</v>
      </c>
      <c r="Q48" s="374">
        <f t="shared" si="81"/>
        <v>1693.4311399999997</v>
      </c>
      <c r="R48" s="373">
        <f t="shared" si="37"/>
        <v>7022.3868379039986</v>
      </c>
      <c r="S48" s="373">
        <f t="shared" si="51"/>
        <v>26321.173679999996</v>
      </c>
      <c r="T48" s="376">
        <f>(S48-25000)*0.27+(25000-P48)*0.2</f>
        <v>1847.2270695999996</v>
      </c>
      <c r="U48" s="373">
        <f t="shared" si="38"/>
        <v>6868.5909083039987</v>
      </c>
      <c r="V48" s="373">
        <f t="shared" si="53"/>
        <v>35094.898239999995</v>
      </c>
      <c r="W48" s="376">
        <f t="shared" si="54"/>
        <v>2368.9056311999998</v>
      </c>
      <c r="X48" s="373">
        <f t="shared" si="39"/>
        <v>6346.912346703999</v>
      </c>
      <c r="Y48" s="373">
        <f t="shared" si="55"/>
        <v>43868.622799999997</v>
      </c>
      <c r="Z48" s="376">
        <f t="shared" si="78"/>
        <v>2368.9056311999998</v>
      </c>
      <c r="AA48" s="373">
        <f t="shared" si="40"/>
        <v>6346.912346703999</v>
      </c>
      <c r="AB48" s="373">
        <f t="shared" si="56"/>
        <v>52642.347359999992</v>
      </c>
      <c r="AC48" s="376">
        <f t="shared" si="28"/>
        <v>2368.9056311999998</v>
      </c>
      <c r="AD48" s="373">
        <f t="shared" si="41"/>
        <v>6346.912346703999</v>
      </c>
      <c r="AE48" s="373">
        <f t="shared" si="57"/>
        <v>61416.071919999988</v>
      </c>
      <c r="AF48" s="376">
        <f t="shared" si="71"/>
        <v>2368.9056311999998</v>
      </c>
      <c r="AG48" s="373">
        <f t="shared" si="42"/>
        <v>6346.912346703999</v>
      </c>
      <c r="AH48" s="373">
        <f t="shared" si="58"/>
        <v>70189.79647999999</v>
      </c>
      <c r="AI48" s="376">
        <f t="shared" si="79"/>
        <v>2368.9056311999998</v>
      </c>
      <c r="AJ48" s="373">
        <f t="shared" si="43"/>
        <v>6346.912346703999</v>
      </c>
      <c r="AK48" s="373">
        <f t="shared" si="59"/>
        <v>78963.521039999992</v>
      </c>
      <c r="AL48" s="376">
        <f t="shared" si="82"/>
        <v>2368.9056311999998</v>
      </c>
      <c r="AM48" s="373">
        <f t="shared" si="45"/>
        <v>6346.912346703999</v>
      </c>
      <c r="AN48" s="373">
        <f t="shared" si="60"/>
        <v>87737.245599999995</v>
      </c>
      <c r="AO48" s="376">
        <f>H48*0.27</f>
        <v>2368.9056311999998</v>
      </c>
      <c r="AP48" s="373">
        <f t="shared" si="46"/>
        <v>7097.0773173039979</v>
      </c>
      <c r="AQ48" s="373">
        <f t="shared" si="61"/>
        <v>96510.970159999983</v>
      </c>
      <c r="AR48" s="377">
        <f>(AQ48-88000)*0.35+(88000-AN48)*0.27</f>
        <v>3049.7832439999947</v>
      </c>
      <c r="AS48" s="373">
        <f t="shared" si="47"/>
        <v>5666.0347339040036</v>
      </c>
      <c r="AT48" s="373">
        <f t="shared" si="63"/>
        <v>105284.69471999998</v>
      </c>
      <c r="AU48" s="377">
        <f>H48*0.35</f>
        <v>3070.8035959999993</v>
      </c>
      <c r="AV48" s="373">
        <f t="shared" si="48"/>
        <v>5645.0143819039986</v>
      </c>
      <c r="AW48" s="292"/>
    </row>
    <row r="49" spans="1:49" ht="28.5" x14ac:dyDescent="0.45">
      <c r="A49" s="718"/>
      <c r="B49" s="351" t="s">
        <v>227</v>
      </c>
      <c r="C49" s="240">
        <v>180</v>
      </c>
      <c r="D49" s="234">
        <v>4996.0199999999995</v>
      </c>
      <c r="E49" s="234">
        <v>5995.2240000000002</v>
      </c>
      <c r="F49" s="234">
        <f t="shared" si="49"/>
        <v>10991.243999999999</v>
      </c>
      <c r="G49" s="233">
        <v>359</v>
      </c>
      <c r="H49" s="353">
        <f t="shared" si="65"/>
        <v>7814.4887199999994</v>
      </c>
      <c r="I49" s="363">
        <v>0.53</v>
      </c>
      <c r="J49" s="362">
        <v>5700</v>
      </c>
      <c r="K49" s="361">
        <f t="shared" si="26"/>
        <v>5842.9396502646669</v>
      </c>
      <c r="L49" s="372">
        <f t="shared" si="12"/>
        <v>51.575625551999998</v>
      </c>
      <c r="M49" s="373">
        <f t="shared" si="13"/>
        <v>7814.4887199999994</v>
      </c>
      <c r="N49" s="378">
        <f t="shared" si="80"/>
        <v>1172.1733079999999</v>
      </c>
      <c r="O49" s="373">
        <f t="shared" si="36"/>
        <v>6590.739786447999</v>
      </c>
      <c r="P49" s="373">
        <f t="shared" si="14"/>
        <v>15628.977439999999</v>
      </c>
      <c r="Q49" s="374">
        <f t="shared" si="81"/>
        <v>1453.6221799999998</v>
      </c>
      <c r="R49" s="373">
        <f t="shared" si="37"/>
        <v>6309.290914448</v>
      </c>
      <c r="S49" s="373">
        <f t="shared" si="51"/>
        <v>23443.466159999996</v>
      </c>
      <c r="T49" s="374">
        <f t="shared" si="83"/>
        <v>1562.8977439999999</v>
      </c>
      <c r="U49" s="373">
        <f t="shared" si="38"/>
        <v>6200.0153504479995</v>
      </c>
      <c r="V49" s="373">
        <f t="shared" si="53"/>
        <v>31257.954879999998</v>
      </c>
      <c r="W49" s="376">
        <f>(V49-25000)*0.27+(25000-S49)*0.2</f>
        <v>2000.9545856000002</v>
      </c>
      <c r="X49" s="373">
        <f t="shared" si="39"/>
        <v>5761.9585088479989</v>
      </c>
      <c r="Y49" s="373">
        <f t="shared" si="55"/>
        <v>39072.443599999999</v>
      </c>
      <c r="Z49" s="376">
        <f t="shared" si="78"/>
        <v>2109.9119544</v>
      </c>
      <c r="AA49" s="373">
        <f t="shared" si="40"/>
        <v>5653.0011400479998</v>
      </c>
      <c r="AB49" s="373">
        <f t="shared" si="56"/>
        <v>46886.932319999993</v>
      </c>
      <c r="AC49" s="376">
        <f t="shared" si="28"/>
        <v>2109.9119544</v>
      </c>
      <c r="AD49" s="373">
        <f t="shared" si="41"/>
        <v>5653.0011400479998</v>
      </c>
      <c r="AE49" s="373">
        <f t="shared" si="57"/>
        <v>54701.421039999994</v>
      </c>
      <c r="AF49" s="376">
        <f t="shared" si="71"/>
        <v>2109.9119544</v>
      </c>
      <c r="AG49" s="373">
        <f t="shared" si="42"/>
        <v>5653.0011400479998</v>
      </c>
      <c r="AH49" s="373">
        <f t="shared" si="58"/>
        <v>62515.909759999995</v>
      </c>
      <c r="AI49" s="376">
        <f t="shared" si="79"/>
        <v>2109.9119544</v>
      </c>
      <c r="AJ49" s="373">
        <f t="shared" si="43"/>
        <v>5653.0011400479998</v>
      </c>
      <c r="AK49" s="373">
        <f t="shared" si="59"/>
        <v>70330.398479999989</v>
      </c>
      <c r="AL49" s="376">
        <f t="shared" si="82"/>
        <v>2109.9119544</v>
      </c>
      <c r="AM49" s="373">
        <f t="shared" si="45"/>
        <v>5653.0011400479998</v>
      </c>
      <c r="AN49" s="373">
        <f t="shared" si="60"/>
        <v>78144.887199999997</v>
      </c>
      <c r="AO49" s="376">
        <f>H49*0.27</f>
        <v>2109.9119544</v>
      </c>
      <c r="AP49" s="373">
        <f t="shared" si="46"/>
        <v>6144.1724338479999</v>
      </c>
      <c r="AQ49" s="373">
        <f t="shared" si="61"/>
        <v>85959.375919999991</v>
      </c>
      <c r="AR49" s="376">
        <f>H49*0.27</f>
        <v>2109.9119544</v>
      </c>
      <c r="AS49" s="373">
        <f t="shared" si="47"/>
        <v>5653.0011400479998</v>
      </c>
      <c r="AT49" s="373">
        <f t="shared" si="63"/>
        <v>93773.864639999985</v>
      </c>
      <c r="AU49" s="377">
        <f>(AT49-88000)*0.35+(88000-AQ49)*0.27</f>
        <v>2571.8211255999968</v>
      </c>
      <c r="AV49" s="373">
        <f t="shared" si="48"/>
        <v>5191.0919688480026</v>
      </c>
      <c r="AW49" s="292"/>
    </row>
    <row r="50" spans="1:49" ht="28.5" x14ac:dyDescent="0.45">
      <c r="A50" s="718"/>
      <c r="B50" s="351" t="s">
        <v>228</v>
      </c>
      <c r="C50" s="240">
        <v>180</v>
      </c>
      <c r="D50" s="234">
        <v>4996.0199999999995</v>
      </c>
      <c r="E50" s="234">
        <v>5995.2240000000002</v>
      </c>
      <c r="F50" s="234">
        <f t="shared" si="49"/>
        <v>10991.243999999999</v>
      </c>
      <c r="G50" s="233">
        <v>359</v>
      </c>
      <c r="H50" s="353">
        <f t="shared" si="65"/>
        <v>5236.5423999999994</v>
      </c>
      <c r="I50" s="363">
        <v>0.1</v>
      </c>
      <c r="J50" s="362">
        <v>3900</v>
      </c>
      <c r="K50" s="361">
        <f t="shared" si="26"/>
        <v>3958.5419211099997</v>
      </c>
      <c r="L50" s="372">
        <f t="shared" si="12"/>
        <v>34.561179839999994</v>
      </c>
      <c r="M50" s="373">
        <f t="shared" si="13"/>
        <v>5236.5423999999994</v>
      </c>
      <c r="N50" s="378">
        <f t="shared" si="80"/>
        <v>785.48135999999988</v>
      </c>
      <c r="O50" s="373">
        <f t="shared" si="36"/>
        <v>4416.49986016</v>
      </c>
      <c r="P50" s="373">
        <f t="shared" si="14"/>
        <v>10473.084799999999</v>
      </c>
      <c r="Q50" s="374">
        <f t="shared" si="81"/>
        <v>809.13559999999984</v>
      </c>
      <c r="R50" s="373">
        <f t="shared" si="37"/>
        <v>4392.8456201600002</v>
      </c>
      <c r="S50" s="373">
        <f t="shared" si="51"/>
        <v>15709.627199999999</v>
      </c>
      <c r="T50" s="374">
        <f t="shared" si="83"/>
        <v>1047.3084799999999</v>
      </c>
      <c r="U50" s="373">
        <f t="shared" si="38"/>
        <v>4154.6727401600001</v>
      </c>
      <c r="V50" s="373">
        <f t="shared" si="53"/>
        <v>20946.169599999997</v>
      </c>
      <c r="W50" s="374">
        <f>H50*0.2</f>
        <v>1047.3084799999999</v>
      </c>
      <c r="X50" s="373">
        <f t="shared" si="39"/>
        <v>4154.6727401600001</v>
      </c>
      <c r="Y50" s="373">
        <f t="shared" si="55"/>
        <v>26182.711999999996</v>
      </c>
      <c r="Z50" s="376">
        <f>(Y50-25000)*0.27+(25000-V50)*0.2</f>
        <v>1130.0983199999996</v>
      </c>
      <c r="AA50" s="373">
        <f t="shared" si="40"/>
        <v>4071.8829001600002</v>
      </c>
      <c r="AB50" s="373">
        <f t="shared" si="56"/>
        <v>31419.254399999998</v>
      </c>
      <c r="AC50" s="376">
        <f t="shared" si="28"/>
        <v>1413.866448</v>
      </c>
      <c r="AD50" s="373">
        <f t="shared" si="41"/>
        <v>3788.11477216</v>
      </c>
      <c r="AE50" s="373">
        <f t="shared" si="57"/>
        <v>36655.796799999996</v>
      </c>
      <c r="AF50" s="376">
        <f>H50*0.27</f>
        <v>1413.866448</v>
      </c>
      <c r="AG50" s="373">
        <f>H50-L50-AF50</f>
        <v>3788.11477216</v>
      </c>
      <c r="AH50" s="373">
        <f t="shared" si="58"/>
        <v>41892.339199999995</v>
      </c>
      <c r="AI50" s="376">
        <f t="shared" si="79"/>
        <v>1413.866448</v>
      </c>
      <c r="AJ50" s="373">
        <f t="shared" si="43"/>
        <v>3788.11477216</v>
      </c>
      <c r="AK50" s="373">
        <f t="shared" si="59"/>
        <v>47128.881599999993</v>
      </c>
      <c r="AL50" s="376">
        <f t="shared" si="82"/>
        <v>1413.866448</v>
      </c>
      <c r="AM50" s="373">
        <f t="shared" si="45"/>
        <v>3788.11477216</v>
      </c>
      <c r="AN50" s="373">
        <f t="shared" si="60"/>
        <v>52365.423999999992</v>
      </c>
      <c r="AO50" s="376">
        <f>H50*0.27</f>
        <v>1413.866448</v>
      </c>
      <c r="AP50" s="373">
        <f t="shared" si="46"/>
        <v>3583.2405595599998</v>
      </c>
      <c r="AQ50" s="373">
        <f t="shared" si="61"/>
        <v>57601.96639999999</v>
      </c>
      <c r="AR50" s="376">
        <f>H50*0.27</f>
        <v>1413.866448</v>
      </c>
      <c r="AS50" s="373">
        <f t="shared" si="47"/>
        <v>3788.11477216</v>
      </c>
      <c r="AT50" s="373">
        <f t="shared" si="63"/>
        <v>62838.508799999996</v>
      </c>
      <c r="AU50" s="376">
        <f t="shared" ref="AU50:AU53" si="85">H50*0.27</f>
        <v>1413.866448</v>
      </c>
      <c r="AV50" s="373">
        <f t="shared" si="48"/>
        <v>3788.11477216</v>
      </c>
      <c r="AW50" s="292"/>
    </row>
    <row r="51" spans="1:49" ht="28.5" x14ac:dyDescent="0.45">
      <c r="A51" s="719"/>
      <c r="B51" s="350" t="s">
        <v>199</v>
      </c>
      <c r="C51" s="290">
        <v>125</v>
      </c>
      <c r="D51" s="238">
        <v>4996.0199999999995</v>
      </c>
      <c r="E51" s="238">
        <v>5995.2240000000002</v>
      </c>
      <c r="F51" s="238">
        <f t="shared" si="49"/>
        <v>10991.243999999999</v>
      </c>
      <c r="G51" s="233">
        <v>359</v>
      </c>
      <c r="H51" s="353">
        <f t="shared" si="65"/>
        <v>5176.5901599999997</v>
      </c>
      <c r="I51" s="363">
        <v>0.09</v>
      </c>
      <c r="J51" s="362">
        <v>3800</v>
      </c>
      <c r="K51" s="361">
        <f t="shared" si="26"/>
        <v>3913.8235452940003</v>
      </c>
      <c r="L51" s="372">
        <f t="shared" si="12"/>
        <v>34.165495055999997</v>
      </c>
      <c r="M51" s="373">
        <f t="shared" si="13"/>
        <v>5176.5901599999997</v>
      </c>
      <c r="N51" s="378">
        <f t="shared" si="80"/>
        <v>776.48852399999998</v>
      </c>
      <c r="O51" s="373">
        <f t="shared" si="36"/>
        <v>4365.9361409439998</v>
      </c>
      <c r="P51" s="373">
        <f t="shared" si="14"/>
        <v>10353.180319999999</v>
      </c>
      <c r="Q51" s="374">
        <f t="shared" si="81"/>
        <v>794.14753999999994</v>
      </c>
      <c r="R51" s="373">
        <f t="shared" si="37"/>
        <v>4348.2771249440002</v>
      </c>
      <c r="S51" s="373">
        <f t="shared" si="51"/>
        <v>15529.770479999999</v>
      </c>
      <c r="T51" s="374">
        <f t="shared" si="83"/>
        <v>1035.3180319999999</v>
      </c>
      <c r="U51" s="373">
        <f t="shared" si="38"/>
        <v>4107.106632944</v>
      </c>
      <c r="V51" s="373">
        <f t="shared" si="53"/>
        <v>20706.360639999999</v>
      </c>
      <c r="W51" s="374">
        <f>H51*0.2</f>
        <v>1035.3180319999999</v>
      </c>
      <c r="X51" s="373">
        <f t="shared" si="39"/>
        <v>4107.106632944</v>
      </c>
      <c r="Y51" s="373">
        <f t="shared" si="55"/>
        <v>25882.950799999999</v>
      </c>
      <c r="Z51" s="376">
        <f>(Y51-25000)*0.27+(25000-V51)*0.2</f>
        <v>1097.1245879999999</v>
      </c>
      <c r="AA51" s="373">
        <f t="shared" si="40"/>
        <v>4045.3000769440005</v>
      </c>
      <c r="AB51" s="373">
        <f t="shared" si="56"/>
        <v>31059.540959999998</v>
      </c>
      <c r="AC51" s="376">
        <f t="shared" si="28"/>
        <v>1397.6793431999999</v>
      </c>
      <c r="AD51" s="373">
        <f t="shared" si="41"/>
        <v>3744.7453217440002</v>
      </c>
      <c r="AE51" s="373">
        <f t="shared" si="57"/>
        <v>36236.131119999998</v>
      </c>
      <c r="AF51" s="376">
        <f>H51*0.27</f>
        <v>1397.6793431999999</v>
      </c>
      <c r="AG51" s="373">
        <f>H51-L51-AF51</f>
        <v>3744.7453217440002</v>
      </c>
      <c r="AH51" s="373">
        <f t="shared" si="58"/>
        <v>41412.721279999998</v>
      </c>
      <c r="AI51" s="376">
        <f t="shared" si="79"/>
        <v>1397.6793431999999</v>
      </c>
      <c r="AJ51" s="373">
        <f t="shared" si="43"/>
        <v>3744.7453217440002</v>
      </c>
      <c r="AK51" s="373">
        <f t="shared" si="59"/>
        <v>46589.311439999998</v>
      </c>
      <c r="AL51" s="376">
        <f t="shared" si="82"/>
        <v>1397.6793431999999</v>
      </c>
      <c r="AM51" s="373">
        <f t="shared" si="45"/>
        <v>3744.7453217440002</v>
      </c>
      <c r="AN51" s="373">
        <f t="shared" si="60"/>
        <v>51765.901599999997</v>
      </c>
      <c r="AO51" s="376">
        <f>H51*0.27</f>
        <v>1397.6793431999999</v>
      </c>
      <c r="AP51" s="373">
        <f t="shared" si="46"/>
        <v>3523.6840043440002</v>
      </c>
      <c r="AQ51" s="373">
        <f t="shared" si="61"/>
        <v>56942.491759999997</v>
      </c>
      <c r="AR51" s="376">
        <f>H51*0.27</f>
        <v>1397.6793431999999</v>
      </c>
      <c r="AS51" s="373">
        <f t="shared" si="47"/>
        <v>3744.7453217440002</v>
      </c>
      <c r="AT51" s="373">
        <f t="shared" si="63"/>
        <v>62119.081919999997</v>
      </c>
      <c r="AU51" s="376">
        <f t="shared" si="85"/>
        <v>1397.6793431999999</v>
      </c>
      <c r="AV51" s="373">
        <f t="shared" si="48"/>
        <v>3744.7453217440002</v>
      </c>
      <c r="AW51" s="292"/>
    </row>
    <row r="52" spans="1:49" ht="28.5" x14ac:dyDescent="0.45">
      <c r="A52" s="714" t="s">
        <v>173</v>
      </c>
      <c r="B52" s="715"/>
      <c r="C52" s="241">
        <v>125</v>
      </c>
      <c r="D52" s="234">
        <v>3330.68</v>
      </c>
      <c r="E52" s="234">
        <v>4163.3499999999995</v>
      </c>
      <c r="F52" s="234">
        <f t="shared" si="49"/>
        <v>7494.0299999999988</v>
      </c>
      <c r="G52" s="233">
        <v>278</v>
      </c>
      <c r="H52" s="353">
        <f t="shared" si="65"/>
        <v>5467.4229999999989</v>
      </c>
      <c r="I52" s="363">
        <v>0.57999999999999996</v>
      </c>
      <c r="J52" s="362">
        <v>4000</v>
      </c>
      <c r="K52" s="361">
        <f t="shared" si="26"/>
        <v>4130.7557606499986</v>
      </c>
      <c r="L52" s="372">
        <f t="shared" si="12"/>
        <v>36.08499179999999</v>
      </c>
      <c r="M52" s="373">
        <f t="shared" si="13"/>
        <v>5467.4229999999989</v>
      </c>
      <c r="N52" s="378">
        <f t="shared" si="80"/>
        <v>820.11344999999983</v>
      </c>
      <c r="O52" s="373">
        <f t="shared" si="36"/>
        <v>4611.2245581999987</v>
      </c>
      <c r="P52" s="373">
        <f t="shared" si="14"/>
        <v>10934.845999999998</v>
      </c>
      <c r="Q52" s="374">
        <f t="shared" si="81"/>
        <v>866.85574999999972</v>
      </c>
      <c r="R52" s="373">
        <f t="shared" si="37"/>
        <v>4564.4822581999988</v>
      </c>
      <c r="S52" s="373">
        <f t="shared" si="51"/>
        <v>16402.268999999997</v>
      </c>
      <c r="T52" s="374">
        <f t="shared" si="83"/>
        <v>1093.4845999999998</v>
      </c>
      <c r="U52" s="373">
        <f t="shared" si="38"/>
        <v>4337.8534081999987</v>
      </c>
      <c r="V52" s="373">
        <f t="shared" si="53"/>
        <v>21869.691999999995</v>
      </c>
      <c r="W52" s="374">
        <f t="shared" ref="W52:W53" si="86">H52*0.2</f>
        <v>1093.4845999999998</v>
      </c>
      <c r="X52" s="373">
        <f t="shared" si="39"/>
        <v>4337.8534081999987</v>
      </c>
      <c r="Y52" s="373">
        <f t="shared" si="55"/>
        <v>27337.114999999994</v>
      </c>
      <c r="Z52" s="376">
        <f>(Y52-25000)*0.27+(25000-V52)*0.2</f>
        <v>1257.0826499999994</v>
      </c>
      <c r="AA52" s="373">
        <f t="shared" si="40"/>
        <v>4174.2553581999991</v>
      </c>
      <c r="AB52" s="373">
        <f t="shared" si="56"/>
        <v>32804.537999999993</v>
      </c>
      <c r="AC52" s="376">
        <f t="shared" si="28"/>
        <v>1476.2042099999999</v>
      </c>
      <c r="AD52" s="373">
        <f t="shared" si="41"/>
        <v>3955.1337981999986</v>
      </c>
      <c r="AE52" s="373">
        <f t="shared" si="57"/>
        <v>38271.960999999996</v>
      </c>
      <c r="AF52" s="376">
        <f t="shared" ref="AF52" si="87">H52*0.27</f>
        <v>1476.2042099999999</v>
      </c>
      <c r="AG52" s="373">
        <f t="shared" si="42"/>
        <v>3955.1337981999986</v>
      </c>
      <c r="AH52" s="373">
        <f t="shared" si="58"/>
        <v>43739.383999999991</v>
      </c>
      <c r="AI52" s="376">
        <f t="shared" si="79"/>
        <v>1476.2042099999999</v>
      </c>
      <c r="AJ52" s="373">
        <f t="shared" si="43"/>
        <v>3955.1337981999986</v>
      </c>
      <c r="AK52" s="373">
        <f t="shared" si="59"/>
        <v>49206.806999999986</v>
      </c>
      <c r="AL52" s="376">
        <f t="shared" si="82"/>
        <v>1476.2042099999999</v>
      </c>
      <c r="AM52" s="373">
        <f t="shared" si="45"/>
        <v>3955.1337981999986</v>
      </c>
      <c r="AN52" s="373">
        <f t="shared" si="60"/>
        <v>54674.229999999989</v>
      </c>
      <c r="AO52" s="376">
        <f t="shared" ref="AO52:AO53" si="88">H52*0.27</f>
        <v>1476.2042099999999</v>
      </c>
      <c r="AP52" s="373">
        <f t="shared" si="46"/>
        <v>3812.5973475999986</v>
      </c>
      <c r="AQ52" s="373">
        <f t="shared" si="61"/>
        <v>60141.652999999991</v>
      </c>
      <c r="AR52" s="376">
        <f t="shared" ref="AR52:AR53" si="89">H52*0.27</f>
        <v>1476.2042099999999</v>
      </c>
      <c r="AS52" s="373">
        <f t="shared" si="47"/>
        <v>3955.1337981999986</v>
      </c>
      <c r="AT52" s="373">
        <f t="shared" si="63"/>
        <v>65609.075999999986</v>
      </c>
      <c r="AU52" s="376">
        <f t="shared" si="85"/>
        <v>1476.2042099999999</v>
      </c>
      <c r="AV52" s="373">
        <f t="shared" si="48"/>
        <v>3955.1337981999986</v>
      </c>
      <c r="AW52" s="292"/>
    </row>
    <row r="53" spans="1:49" ht="29.25" thickBot="1" x14ac:dyDescent="0.5">
      <c r="A53" s="734" t="s">
        <v>174</v>
      </c>
      <c r="B53" s="735"/>
      <c r="C53" s="305">
        <v>75</v>
      </c>
      <c r="D53" s="306">
        <v>2498.0099999999998</v>
      </c>
      <c r="E53" s="306">
        <v>2498</v>
      </c>
      <c r="F53" s="306">
        <f t="shared" si="49"/>
        <v>4996.01</v>
      </c>
      <c r="G53" s="233">
        <v>278</v>
      </c>
      <c r="H53" s="353">
        <f t="shared" si="65"/>
        <v>3818.7299999999996</v>
      </c>
      <c r="I53" s="363">
        <v>0.64</v>
      </c>
      <c r="J53" s="362">
        <v>2822</v>
      </c>
      <c r="K53" s="361">
        <f t="shared" si="26"/>
        <v>2900.9956519499992</v>
      </c>
      <c r="L53" s="372">
        <f t="shared" si="12"/>
        <v>25.203617999999999</v>
      </c>
      <c r="M53" s="373">
        <f t="shared" si="13"/>
        <v>3818.7299999999996</v>
      </c>
      <c r="N53" s="378">
        <f t="shared" si="80"/>
        <v>572.80949999999996</v>
      </c>
      <c r="O53" s="373">
        <f t="shared" si="36"/>
        <v>3220.7168819999997</v>
      </c>
      <c r="P53" s="373">
        <f t="shared" si="14"/>
        <v>7637.4599999999991</v>
      </c>
      <c r="Q53" s="378">
        <f>H53*0.15</f>
        <v>572.80949999999996</v>
      </c>
      <c r="R53" s="373">
        <f t="shared" si="37"/>
        <v>3220.7168819999997</v>
      </c>
      <c r="S53" s="373">
        <f t="shared" si="51"/>
        <v>11456.189999999999</v>
      </c>
      <c r="T53" s="374">
        <f>(S53-10000)*0.2+(10000-P53)*0.15</f>
        <v>645.61899999999991</v>
      </c>
      <c r="U53" s="373">
        <f t="shared" si="38"/>
        <v>3147.9073819999994</v>
      </c>
      <c r="V53" s="373">
        <f t="shared" si="53"/>
        <v>15274.919999999998</v>
      </c>
      <c r="W53" s="374">
        <f t="shared" si="86"/>
        <v>763.74599999999998</v>
      </c>
      <c r="X53" s="373">
        <f t="shared" si="39"/>
        <v>3029.7803819999995</v>
      </c>
      <c r="Y53" s="373">
        <f t="shared" si="55"/>
        <v>19093.649999999998</v>
      </c>
      <c r="Z53" s="374">
        <f>H53*0.2</f>
        <v>763.74599999999998</v>
      </c>
      <c r="AA53" s="373">
        <f t="shared" si="40"/>
        <v>3029.7803819999995</v>
      </c>
      <c r="AB53" s="373">
        <f t="shared" si="56"/>
        <v>22912.379999999997</v>
      </c>
      <c r="AC53" s="374">
        <f>H53*0.2</f>
        <v>763.74599999999998</v>
      </c>
      <c r="AD53" s="373">
        <f t="shared" si="41"/>
        <v>3029.7803819999995</v>
      </c>
      <c r="AE53" s="373">
        <f t="shared" si="57"/>
        <v>26731.109999999997</v>
      </c>
      <c r="AF53" s="376">
        <f>(AE53-25000)*0.27+(25000-AB53)*0.2</f>
        <v>884.92369999999983</v>
      </c>
      <c r="AG53" s="373">
        <f t="shared" si="42"/>
        <v>2908.6026819999997</v>
      </c>
      <c r="AH53" s="373">
        <f t="shared" si="58"/>
        <v>30549.839999999997</v>
      </c>
      <c r="AI53" s="376">
        <f t="shared" si="79"/>
        <v>1031.0571</v>
      </c>
      <c r="AJ53" s="373">
        <f t="shared" si="43"/>
        <v>2762.4692819999996</v>
      </c>
      <c r="AK53" s="373">
        <f t="shared" si="59"/>
        <v>34368.569999999992</v>
      </c>
      <c r="AL53" s="376">
        <f t="shared" si="82"/>
        <v>1031.0571</v>
      </c>
      <c r="AM53" s="373">
        <f t="shared" si="45"/>
        <v>2762.4692819999996</v>
      </c>
      <c r="AN53" s="373">
        <f t="shared" si="60"/>
        <v>38187.299999999996</v>
      </c>
      <c r="AO53" s="376">
        <f t="shared" si="88"/>
        <v>1031.0571</v>
      </c>
      <c r="AP53" s="373">
        <f t="shared" si="46"/>
        <v>2174.7857213999996</v>
      </c>
      <c r="AQ53" s="373">
        <f t="shared" si="61"/>
        <v>42006.03</v>
      </c>
      <c r="AR53" s="376">
        <f t="shared" si="89"/>
        <v>1031.0571</v>
      </c>
      <c r="AS53" s="373">
        <f t="shared" si="47"/>
        <v>2762.4692819999996</v>
      </c>
      <c r="AT53" s="373">
        <f t="shared" si="63"/>
        <v>45824.759999999995</v>
      </c>
      <c r="AU53" s="376">
        <f t="shared" si="85"/>
        <v>1031.0571</v>
      </c>
      <c r="AV53" s="373">
        <f t="shared" si="48"/>
        <v>2762.4692819999996</v>
      </c>
      <c r="AW53" s="292"/>
    </row>
    <row r="54" spans="1:49" x14ac:dyDescent="0.35">
      <c r="AL54" s="379"/>
    </row>
  </sheetData>
  <mergeCells count="11">
    <mergeCell ref="A27:B27"/>
    <mergeCell ref="A1:F1"/>
    <mergeCell ref="A4:B4"/>
    <mergeCell ref="A6:A14"/>
    <mergeCell ref="A15:A23"/>
    <mergeCell ref="A24:A26"/>
    <mergeCell ref="A29:A37"/>
    <mergeCell ref="A38:A45"/>
    <mergeCell ref="A46:A51"/>
    <mergeCell ref="A52:B52"/>
    <mergeCell ref="A53:B53"/>
  </mergeCells>
  <pageMargins left="0.7" right="0.7" top="0.75" bottom="0.75" header="0.3" footer="0.3"/>
  <ignoredErrors>
    <ignoredError sqref="AO17 AL17 AC9:AU13 AG18:AU53 AG17:AK17 AM17:AN17 AP17:AU17 AG16:AU16 AG15:AU15 AG14:AU14 AC16:AF16 AC17:AF17 AC18:AF53 AC14:AF14 AC15:AF15 T15:AB15 K14:AB14 K16:AB16 K15:S15 K18:AB53 K17:AB17 AL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topLeftCell="A4" zoomScale="60" zoomScaleNormal="60" workbookViewId="0">
      <selection activeCell="K6" sqref="K6"/>
    </sheetView>
  </sheetViews>
  <sheetFormatPr defaultRowHeight="21" x14ac:dyDescent="0.35"/>
  <cols>
    <col min="1" max="1" width="21.5703125" style="202" customWidth="1"/>
    <col min="2" max="2" width="77.7109375" style="130" customWidth="1"/>
    <col min="3" max="3" width="16.28515625" customWidth="1"/>
    <col min="4" max="6" width="20.5703125" customWidth="1"/>
    <col min="7" max="7" width="15.140625" customWidth="1"/>
    <col min="8" max="8" width="16.42578125" customWidth="1"/>
    <col min="9" max="9" width="13.5703125" customWidth="1"/>
    <col min="10" max="10" width="24.42578125" customWidth="1"/>
    <col min="11" max="11" width="22.85546875" customWidth="1"/>
    <col min="12" max="12" width="13.28515625" style="130" customWidth="1"/>
    <col min="13" max="13" width="16.140625" style="130" bestFit="1" customWidth="1"/>
    <col min="14" max="14" width="14.140625" style="130" bestFit="1" customWidth="1"/>
    <col min="15" max="16" width="16.140625" style="130" bestFit="1" customWidth="1"/>
    <col min="17" max="17" width="14.140625" style="130" bestFit="1" customWidth="1"/>
    <col min="18" max="19" width="16.140625" style="130" bestFit="1" customWidth="1"/>
    <col min="20" max="20" width="14.140625" style="130" bestFit="1" customWidth="1"/>
    <col min="21" max="22" width="16.140625" style="130" bestFit="1" customWidth="1"/>
    <col min="23" max="23" width="14.140625" style="130" bestFit="1" customWidth="1"/>
    <col min="24" max="25" width="16.140625" style="130" bestFit="1" customWidth="1"/>
    <col min="26" max="26" width="14.140625" style="130" bestFit="1" customWidth="1"/>
    <col min="27" max="27" width="16.140625" style="130" bestFit="1" customWidth="1"/>
    <col min="28" max="28" width="17.7109375" style="130" bestFit="1" customWidth="1"/>
    <col min="29" max="29" width="14.140625" style="130" bestFit="1" customWidth="1"/>
    <col min="30" max="30" width="16.140625" style="130" bestFit="1" customWidth="1"/>
    <col min="31" max="31" width="17.7109375" style="130" bestFit="1" customWidth="1"/>
    <col min="32" max="32" width="14.140625" style="130" bestFit="1" customWidth="1"/>
    <col min="33" max="33" width="16.140625" style="130" bestFit="1" customWidth="1"/>
    <col min="34" max="34" width="17.7109375" style="130" bestFit="1" customWidth="1"/>
    <col min="35" max="35" width="18.7109375" style="130" customWidth="1"/>
    <col min="36" max="36" width="16.140625" style="130" bestFit="1" customWidth="1"/>
    <col min="37" max="37" width="17.7109375" style="130" bestFit="1" customWidth="1"/>
    <col min="38" max="38" width="14.140625" style="130" bestFit="1" customWidth="1"/>
    <col min="39" max="39" width="16.140625" style="130" bestFit="1" customWidth="1"/>
    <col min="40" max="40" width="17.7109375" style="130" bestFit="1" customWidth="1"/>
    <col min="41" max="41" width="14.140625" style="130" bestFit="1" customWidth="1"/>
    <col min="42" max="42" width="16.140625" style="130" bestFit="1" customWidth="1"/>
    <col min="43" max="43" width="17.7109375" style="130" bestFit="1" customWidth="1"/>
    <col min="44" max="44" width="14.140625" style="130" bestFit="1" customWidth="1"/>
    <col min="45" max="45" width="16.140625" style="130" bestFit="1" customWidth="1"/>
    <col min="46" max="46" width="17.7109375" style="130" bestFit="1" customWidth="1"/>
    <col min="47" max="47" width="14.140625" style="130" bestFit="1" customWidth="1"/>
    <col min="48" max="48" width="16.140625" style="130" bestFit="1" customWidth="1"/>
  </cols>
  <sheetData>
    <row r="1" spans="1:49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49" ht="24" hidden="1" thickBot="1" x14ac:dyDescent="0.4">
      <c r="A2" s="192"/>
      <c r="B2" s="2"/>
      <c r="C2" s="2"/>
      <c r="D2" s="2"/>
      <c r="E2" s="2"/>
      <c r="F2" s="2"/>
      <c r="K2" s="385"/>
    </row>
    <row r="3" spans="1:49" ht="27" hidden="1" thickBot="1" x14ac:dyDescent="0.4">
      <c r="A3" s="236" t="s">
        <v>1</v>
      </c>
      <c r="B3" s="4"/>
      <c r="C3" s="4"/>
      <c r="D3" s="4"/>
      <c r="E3" s="4"/>
      <c r="F3" s="4"/>
    </row>
    <row r="4" spans="1:49" ht="65.25" customHeight="1" x14ac:dyDescent="0.25">
      <c r="A4" s="726" t="s">
        <v>2</v>
      </c>
      <c r="B4" s="726"/>
      <c r="C4" s="388" t="s">
        <v>3</v>
      </c>
      <c r="D4" s="388" t="s">
        <v>229</v>
      </c>
      <c r="E4" s="388" t="s">
        <v>253</v>
      </c>
      <c r="F4" s="388" t="s">
        <v>231</v>
      </c>
      <c r="G4" s="352" t="s">
        <v>244</v>
      </c>
      <c r="H4" s="352" t="s">
        <v>249</v>
      </c>
      <c r="I4" s="352" t="s">
        <v>37</v>
      </c>
      <c r="J4" s="364" t="s">
        <v>279</v>
      </c>
      <c r="K4" s="364" t="s">
        <v>280</v>
      </c>
      <c r="L4" s="365" t="s">
        <v>245</v>
      </c>
      <c r="M4" s="365">
        <v>1</v>
      </c>
      <c r="N4" s="365" t="s">
        <v>255</v>
      </c>
      <c r="O4" s="365" t="s">
        <v>267</v>
      </c>
      <c r="P4" s="365">
        <v>2</v>
      </c>
      <c r="Q4" s="365" t="s">
        <v>256</v>
      </c>
      <c r="R4" s="365" t="s">
        <v>268</v>
      </c>
      <c r="S4" s="365">
        <v>3</v>
      </c>
      <c r="T4" s="365" t="s">
        <v>257</v>
      </c>
      <c r="U4" s="365" t="s">
        <v>278</v>
      </c>
      <c r="V4" s="365">
        <v>4</v>
      </c>
      <c r="W4" s="365" t="s">
        <v>258</v>
      </c>
      <c r="X4" s="365" t="s">
        <v>277</v>
      </c>
      <c r="Y4" s="365">
        <v>5</v>
      </c>
      <c r="Z4" s="365" t="s">
        <v>259</v>
      </c>
      <c r="AA4" s="365" t="s">
        <v>276</v>
      </c>
      <c r="AB4" s="365">
        <v>6</v>
      </c>
      <c r="AC4" s="365" t="s">
        <v>260</v>
      </c>
      <c r="AD4" s="365" t="s">
        <v>275</v>
      </c>
      <c r="AE4" s="365">
        <v>7</v>
      </c>
      <c r="AF4" s="365" t="s">
        <v>261</v>
      </c>
      <c r="AG4" s="365" t="s">
        <v>274</v>
      </c>
      <c r="AH4" s="365">
        <v>8</v>
      </c>
      <c r="AI4" s="365" t="s">
        <v>262</v>
      </c>
      <c r="AJ4" s="365" t="s">
        <v>273</v>
      </c>
      <c r="AK4" s="365">
        <v>9</v>
      </c>
      <c r="AL4" s="365" t="s">
        <v>263</v>
      </c>
      <c r="AM4" s="365" t="s">
        <v>272</v>
      </c>
      <c r="AN4" s="365">
        <v>10</v>
      </c>
      <c r="AO4" s="365" t="s">
        <v>264</v>
      </c>
      <c r="AP4" s="365" t="s">
        <v>271</v>
      </c>
      <c r="AQ4" s="365">
        <v>11</v>
      </c>
      <c r="AR4" s="365" t="s">
        <v>265</v>
      </c>
      <c r="AS4" s="365" t="s">
        <v>270</v>
      </c>
      <c r="AT4" s="365">
        <v>12</v>
      </c>
      <c r="AU4" s="366" t="s">
        <v>266</v>
      </c>
      <c r="AV4" s="366" t="s">
        <v>269</v>
      </c>
    </row>
    <row r="5" spans="1:49" s="233" customFormat="1" ht="33.75" customHeight="1" x14ac:dyDescent="0.45">
      <c r="A5" s="229"/>
      <c r="B5" s="346"/>
      <c r="C5" s="231"/>
      <c r="D5" s="231"/>
      <c r="E5" s="231"/>
      <c r="F5" s="231"/>
      <c r="H5" s="357">
        <v>0.93</v>
      </c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1"/>
    </row>
    <row r="6" spans="1:49" s="233" customFormat="1" ht="30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18397.864021999998</v>
      </c>
      <c r="I6" s="363">
        <v>0.71</v>
      </c>
      <c r="J6" s="362">
        <v>12600</v>
      </c>
      <c r="K6" s="361">
        <f>((O6+R6+U6+X6+AA6+AD6+AG6+AJ6+AM6+AP6+AS6+AV6)/12)+60</f>
        <v>12668.982978421465</v>
      </c>
      <c r="L6" s="372">
        <f>(H6+G6)*0.0066</f>
        <v>123.79530254519999</v>
      </c>
      <c r="M6" s="373">
        <f>$H6*M$4</f>
        <v>18397.864021999998</v>
      </c>
      <c r="N6" s="374">
        <f>(M6-10000)*0.2+10000*0.15</f>
        <v>3179.5728043999998</v>
      </c>
      <c r="O6" s="373">
        <f>H6-L6-N6</f>
        <v>15094.495915054798</v>
      </c>
      <c r="P6" s="373">
        <f>$H6*2</f>
        <v>36795.728043999996</v>
      </c>
      <c r="Q6" s="376">
        <f>(P6-25000)*0.27+4500-N6</f>
        <v>4505.2737674799992</v>
      </c>
      <c r="R6" s="373">
        <f>H6-L6-Q6</f>
        <v>13768.794951974798</v>
      </c>
      <c r="S6" s="373">
        <f t="shared" ref="S6:S28" si="0">H6*3</f>
        <v>55193.592065999997</v>
      </c>
      <c r="T6" s="376">
        <f>M6*0.27</f>
        <v>4967.4232859399999</v>
      </c>
      <c r="U6" s="373">
        <f>H6-L6-T6</f>
        <v>13306.645433514797</v>
      </c>
      <c r="V6" s="373">
        <f t="shared" ref="V6:V28" si="1">H6*4</f>
        <v>73591.456087999992</v>
      </c>
      <c r="W6" s="376">
        <f t="shared" ref="W6:W22" si="2">H6*0.27</f>
        <v>4967.4232859399999</v>
      </c>
      <c r="X6" s="373">
        <f>H6-L6-W6</f>
        <v>13306.645433514797</v>
      </c>
      <c r="Y6" s="373">
        <f t="shared" ref="Y6:Y28" si="3">H6*5</f>
        <v>91989.320109999986</v>
      </c>
      <c r="Z6" s="377">
        <f>(Y6-88000)*0.35+(88000-V6)*0.27</f>
        <v>5286.5688947399976</v>
      </c>
      <c r="AA6" s="373">
        <f>H6-L6-Z6</f>
        <v>12987.4998247148</v>
      </c>
      <c r="AB6" s="373">
        <f t="shared" ref="AB6:AB28" si="4">H6*6</f>
        <v>110387.18413199999</v>
      </c>
      <c r="AC6" s="377">
        <f>$H$6*0.35</f>
        <v>6439.2524076999989</v>
      </c>
      <c r="AD6" s="373">
        <f>H6-L6-AC6</f>
        <v>11834.816311754799</v>
      </c>
      <c r="AE6" s="373">
        <f t="shared" ref="AE6:AE28" si="5">H6*7</f>
        <v>128785.04815399999</v>
      </c>
      <c r="AF6" s="377">
        <f>$H$6*0.35</f>
        <v>6439.2524076999989</v>
      </c>
      <c r="AG6" s="373">
        <f>H6-L6-AF6</f>
        <v>11834.816311754799</v>
      </c>
      <c r="AH6" s="373">
        <f t="shared" ref="AH6:AH28" si="6">H6*8</f>
        <v>147182.91217599998</v>
      </c>
      <c r="AI6" s="377">
        <f>$H$6*0.35</f>
        <v>6439.2524076999989</v>
      </c>
      <c r="AJ6" s="373">
        <f>H6-L6-AI6</f>
        <v>11834.816311754799</v>
      </c>
      <c r="AK6" s="373">
        <f t="shared" ref="AK6:AK28" si="7">H6*9</f>
        <v>165580.77619799998</v>
      </c>
      <c r="AL6" s="377">
        <f>$H$6*0.35</f>
        <v>6439.2524076999989</v>
      </c>
      <c r="AM6" s="373">
        <f>H6-L6-AL6</f>
        <v>11834.816311754799</v>
      </c>
      <c r="AN6" s="373">
        <f t="shared" ref="AN6:AN28" si="8">H6*10</f>
        <v>183978.64021999997</v>
      </c>
      <c r="AO6" s="377">
        <f>$H$6*0.35</f>
        <v>6439.2524076999989</v>
      </c>
      <c r="AP6" s="373">
        <f>H6-L6-AO6</f>
        <v>11834.816311754799</v>
      </c>
      <c r="AQ6" s="373">
        <f t="shared" ref="AQ6:AQ28" si="9">H6*11</f>
        <v>202376.50424199997</v>
      </c>
      <c r="AR6" s="377">
        <f>$H$6*0.35</f>
        <v>6439.2524076999989</v>
      </c>
      <c r="AS6" s="373">
        <f>AP6</f>
        <v>11834.816311754799</v>
      </c>
      <c r="AT6" s="373">
        <f t="shared" ref="AT6:AT28" si="10">H6*12</f>
        <v>220774.36826399999</v>
      </c>
      <c r="AU6" s="377">
        <f>$H$6*0.35</f>
        <v>6439.2524076999989</v>
      </c>
      <c r="AV6" s="373">
        <f>H6-L6-AU6</f>
        <v>11834.816311754799</v>
      </c>
      <c r="AW6" s="371"/>
    </row>
    <row r="7" spans="1:49" s="233" customFormat="1" ht="30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11924.021305999999</v>
      </c>
      <c r="I7" s="363">
        <v>0.33</v>
      </c>
      <c r="J7" s="362">
        <v>8500</v>
      </c>
      <c r="K7" s="361">
        <f t="shared" ref="K7:K54" si="11">((O7+R7+U7+X7+AA7+AD7+AG7+AJ7+AM7+AP7+AS7+AV7)/12)+60</f>
        <v>8503.712574947067</v>
      </c>
      <c r="L7" s="372">
        <f t="shared" ref="L7:L54" si="12">(H7+G7)*0.0066</f>
        <v>81.067940619599995</v>
      </c>
      <c r="M7" s="373">
        <f t="shared" ref="M7:M54" si="13">$H7*M$4</f>
        <v>11924.021305999999</v>
      </c>
      <c r="N7" s="374">
        <f>(M7-10000)*0.2+1500</f>
        <v>1884.8042611999997</v>
      </c>
      <c r="O7" s="373">
        <f>H7-L7-N7</f>
        <v>9958.1491041804002</v>
      </c>
      <c r="P7" s="373">
        <f t="shared" ref="P7:P54" si="14">$H7*2</f>
        <v>23848.042611999997</v>
      </c>
      <c r="Q7" s="374">
        <f>H7*0.2</f>
        <v>2384.8042611999999</v>
      </c>
      <c r="R7" s="373">
        <f>H7-L7-Q7</f>
        <v>9458.1491041804002</v>
      </c>
      <c r="S7" s="373">
        <f t="shared" si="0"/>
        <v>35772.063918</v>
      </c>
      <c r="T7" s="376">
        <f>(25000-P7)*0.2+(S7-25000)*0.27</f>
        <v>3138.8487354600006</v>
      </c>
      <c r="U7" s="373">
        <f>H7-L7-T7</f>
        <v>8704.104629920399</v>
      </c>
      <c r="V7" s="373">
        <f t="shared" si="1"/>
        <v>47696.085223999995</v>
      </c>
      <c r="W7" s="376">
        <f t="shared" si="2"/>
        <v>3219.4857526199999</v>
      </c>
      <c r="X7" s="373">
        <f>H7-L7-W7</f>
        <v>8623.4676127603998</v>
      </c>
      <c r="Y7" s="373">
        <f t="shared" si="3"/>
        <v>59620.10652999999</v>
      </c>
      <c r="Z7" s="376">
        <f t="shared" ref="Z7:Z24" si="15">H7*0.27</f>
        <v>3219.4857526199999</v>
      </c>
      <c r="AA7" s="373">
        <f>H7-L7-Z7</f>
        <v>8623.4676127603998</v>
      </c>
      <c r="AB7" s="373">
        <f t="shared" si="4"/>
        <v>71544.127836</v>
      </c>
      <c r="AC7" s="376">
        <f t="shared" ref="AC7:AC14" si="16">H7*0.27</f>
        <v>3219.4857526199999</v>
      </c>
      <c r="AD7" s="373">
        <f>H7-L7-AC7</f>
        <v>8623.4676127603998</v>
      </c>
      <c r="AE7" s="373">
        <f t="shared" si="5"/>
        <v>83468.149141999995</v>
      </c>
      <c r="AF7" s="376">
        <f>H7*0.27</f>
        <v>3219.4857526199999</v>
      </c>
      <c r="AG7" s="373">
        <f>H7-L7-AF7</f>
        <v>8623.4676127603998</v>
      </c>
      <c r="AH7" s="373">
        <f t="shared" si="6"/>
        <v>95392.17044799999</v>
      </c>
      <c r="AI7" s="377">
        <f>(AH7-88000)*0.35+(88000-AE7)*0.27</f>
        <v>3810.8593884599977</v>
      </c>
      <c r="AJ7" s="373">
        <f>H7-L7-AI7</f>
        <v>8032.0939769204015</v>
      </c>
      <c r="AK7" s="373">
        <f t="shared" si="7"/>
        <v>107316.19175399998</v>
      </c>
      <c r="AL7" s="377">
        <f>H7*0.35</f>
        <v>4173.4074570999992</v>
      </c>
      <c r="AM7" s="373">
        <f>$H$7-$L$7-AL7</f>
        <v>7669.5459082804</v>
      </c>
      <c r="AN7" s="373">
        <f t="shared" si="8"/>
        <v>119240.21305999998</v>
      </c>
      <c r="AO7" s="377">
        <f t="shared" ref="AO7:AO12" si="17">H7*0.35</f>
        <v>4173.4074570999992</v>
      </c>
      <c r="AP7" s="373">
        <f>$H$7-$L$7-AO7</f>
        <v>7669.5459082804</v>
      </c>
      <c r="AQ7" s="373">
        <f t="shared" si="9"/>
        <v>131164.23436599999</v>
      </c>
      <c r="AR7" s="377">
        <f t="shared" ref="AR7:AR22" si="18">H7*0.35</f>
        <v>4173.4074570999992</v>
      </c>
      <c r="AS7" s="373">
        <f>$H$7-$L$7-AR7</f>
        <v>7669.5459082804</v>
      </c>
      <c r="AT7" s="373">
        <f t="shared" si="10"/>
        <v>143088.255672</v>
      </c>
      <c r="AU7" s="377">
        <f t="shared" ref="AU7" si="19">AR7</f>
        <v>4173.4074570999992</v>
      </c>
      <c r="AV7" s="373">
        <f>$H$7-$L$7-AU7</f>
        <v>7669.5459082804</v>
      </c>
      <c r="AW7" s="371"/>
    </row>
    <row r="8" spans="1:49" s="233" customFormat="1" ht="30" customHeight="1" x14ac:dyDescent="0.45">
      <c r="A8" s="728"/>
      <c r="B8" s="387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20">D8+E8*$H$5*$I8-G8</f>
        <v>9709.2856400000001</v>
      </c>
      <c r="I8" s="363">
        <v>0.2</v>
      </c>
      <c r="J8" s="362">
        <v>7066</v>
      </c>
      <c r="K8" s="361">
        <f t="shared" si="11"/>
        <v>7078.7516474426657</v>
      </c>
      <c r="L8" s="372">
        <f t="shared" si="12"/>
        <v>66.450685223999997</v>
      </c>
      <c r="M8" s="373">
        <f t="shared" si="13"/>
        <v>9709.2856400000001</v>
      </c>
      <c r="N8" s="378">
        <f>H8*0.15</f>
        <v>1456.392846</v>
      </c>
      <c r="O8" s="373">
        <f>$H$8-$L$8-N8</f>
        <v>8186.4421087760011</v>
      </c>
      <c r="P8" s="373">
        <f t="shared" si="14"/>
        <v>19418.57128</v>
      </c>
      <c r="Q8" s="374">
        <f t="shared" ref="Q8" si="21">(P8-10000)*0.2+(10000-M8)*0.15</f>
        <v>1927.3214100000002</v>
      </c>
      <c r="R8" s="373">
        <f>$H$8-$L$8-Q8</f>
        <v>7715.5135447760003</v>
      </c>
      <c r="S8" s="373">
        <f t="shared" si="0"/>
        <v>29127.856919999998</v>
      </c>
      <c r="T8" s="376">
        <f>(S8-25000)*0.27+(25000-P8)*0.2</f>
        <v>2230.8071123999998</v>
      </c>
      <c r="U8" s="373">
        <f>$H$8-$L$8-T8</f>
        <v>7412.027842376001</v>
      </c>
      <c r="V8" s="373">
        <f t="shared" si="1"/>
        <v>38837.14256</v>
      </c>
      <c r="W8" s="376">
        <f t="shared" si="2"/>
        <v>2621.5071228000002</v>
      </c>
      <c r="X8" s="373">
        <f>$H$8-$L$8-W8</f>
        <v>7021.3278319760011</v>
      </c>
      <c r="Y8" s="373">
        <f t="shared" si="3"/>
        <v>48546.428200000002</v>
      </c>
      <c r="Z8" s="376">
        <f t="shared" si="15"/>
        <v>2621.5071228000002</v>
      </c>
      <c r="AA8" s="373">
        <f>$H$8-$L$8-Z8</f>
        <v>7021.3278319760011</v>
      </c>
      <c r="AB8" s="373">
        <f t="shared" si="4"/>
        <v>58255.713839999997</v>
      </c>
      <c r="AC8" s="376">
        <f t="shared" si="16"/>
        <v>2621.5071228000002</v>
      </c>
      <c r="AD8" s="373">
        <f>$H$8-$L$8-AC8</f>
        <v>7021.3278319760011</v>
      </c>
      <c r="AE8" s="373">
        <f t="shared" si="5"/>
        <v>67964.999479999999</v>
      </c>
      <c r="AF8" s="376">
        <f>H8*0.27</f>
        <v>2621.5071228000002</v>
      </c>
      <c r="AG8" s="373">
        <f>$H$8-$L$8-AF8</f>
        <v>7021.3278319760011</v>
      </c>
      <c r="AH8" s="373">
        <f t="shared" si="6"/>
        <v>77674.28512</v>
      </c>
      <c r="AI8" s="376">
        <f>H8*0.27</f>
        <v>2621.5071228000002</v>
      </c>
      <c r="AJ8" s="373">
        <f>$H$8-$L$8-AI8</f>
        <v>7021.3278319760011</v>
      </c>
      <c r="AK8" s="373">
        <f t="shared" si="7"/>
        <v>87383.570760000002</v>
      </c>
      <c r="AL8" s="377">
        <f>(AK8-88000)*0.35+(88000-AH8)*0.27</f>
        <v>2572.1927836000009</v>
      </c>
      <c r="AM8" s="373">
        <f>$H$8-$L$8-AL8</f>
        <v>7070.6421711759995</v>
      </c>
      <c r="AN8" s="373">
        <f t="shared" si="8"/>
        <v>97092.856400000004</v>
      </c>
      <c r="AO8" s="377">
        <f t="shared" si="17"/>
        <v>3398.2499739999998</v>
      </c>
      <c r="AP8" s="373">
        <f>$H$8-$L$8-AO8</f>
        <v>6244.5849807760005</v>
      </c>
      <c r="AQ8" s="373">
        <f t="shared" si="9"/>
        <v>106802.14204000001</v>
      </c>
      <c r="AR8" s="377">
        <f t="shared" si="18"/>
        <v>3398.2499739999998</v>
      </c>
      <c r="AS8" s="373">
        <f>$H$8-$L$8-AR8</f>
        <v>6244.5849807760005</v>
      </c>
      <c r="AT8" s="373">
        <f t="shared" si="10"/>
        <v>116511.42767999999</v>
      </c>
      <c r="AU8" s="377">
        <f t="shared" ref="AU8:AU22" si="22">H8*0.35</f>
        <v>3398.2499739999998</v>
      </c>
      <c r="AV8" s="373">
        <f>$H$8-$L$8-AU8</f>
        <v>6244.5849807760005</v>
      </c>
      <c r="AW8" s="371"/>
    </row>
    <row r="9" spans="1:49" s="233" customFormat="1" ht="30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23">D9+E9</f>
        <v>19983.72</v>
      </c>
      <c r="G9" s="233">
        <v>359</v>
      </c>
      <c r="H9" s="353">
        <f t="shared" si="20"/>
        <v>14107.781648</v>
      </c>
      <c r="I9" s="363">
        <v>0.63</v>
      </c>
      <c r="J9" s="362">
        <v>9900</v>
      </c>
      <c r="K9" s="361">
        <f t="shared" si="11"/>
        <v>9908.743978989869</v>
      </c>
      <c r="L9" s="372">
        <f t="shared" si="12"/>
        <v>95.480758876799996</v>
      </c>
      <c r="M9" s="373">
        <f t="shared" si="13"/>
        <v>14107.781648</v>
      </c>
      <c r="N9" s="374">
        <f t="shared" ref="N9:N20" si="24">(M9-10000)*0.2+10000*0.15</f>
        <v>2321.5563296</v>
      </c>
      <c r="O9" s="373">
        <f>H9-N9-L9</f>
        <v>11690.7445595232</v>
      </c>
      <c r="P9" s="373">
        <f t="shared" si="14"/>
        <v>28215.563296</v>
      </c>
      <c r="Q9" s="376">
        <f>(P9-25000)*0.27+(25000-M9)*0.2</f>
        <v>3046.6457603200001</v>
      </c>
      <c r="R9" s="373">
        <f>$H$9-$L$9-Q9</f>
        <v>10965.655128803201</v>
      </c>
      <c r="S9" s="373">
        <f t="shared" si="0"/>
        <v>42323.344943999997</v>
      </c>
      <c r="T9" s="376">
        <f t="shared" ref="T9:T10" si="25">M9*0.27</f>
        <v>3809.1010449600003</v>
      </c>
      <c r="U9" s="373">
        <f>$H$9-$L$9-T9</f>
        <v>10203.1998441632</v>
      </c>
      <c r="V9" s="373">
        <f t="shared" si="1"/>
        <v>56431.126592000001</v>
      </c>
      <c r="W9" s="376">
        <f t="shared" si="2"/>
        <v>3809.1010449600003</v>
      </c>
      <c r="X9" s="373">
        <f>$H$9-$L$9-W9</f>
        <v>10203.1998441632</v>
      </c>
      <c r="Y9" s="373">
        <f t="shared" si="3"/>
        <v>70538.908240000004</v>
      </c>
      <c r="Z9" s="376">
        <f t="shared" si="15"/>
        <v>3809.1010449600003</v>
      </c>
      <c r="AA9" s="373">
        <f>$H$9-$L$9-Z9</f>
        <v>10203.1998441632</v>
      </c>
      <c r="AB9" s="373">
        <f t="shared" si="4"/>
        <v>84646.689887999994</v>
      </c>
      <c r="AC9" s="376">
        <f t="shared" si="16"/>
        <v>3809.1010449600003</v>
      </c>
      <c r="AD9" s="373">
        <f>$H$9-$L$9-AC9</f>
        <v>10203.1998441632</v>
      </c>
      <c r="AE9" s="373">
        <f t="shared" si="5"/>
        <v>98754.471535999997</v>
      </c>
      <c r="AF9" s="377">
        <f>(AE9-88000)*0.35+(88000-AB9)*0.27</f>
        <v>4669.4587678400003</v>
      </c>
      <c r="AG9" s="373">
        <f>$H$9-$L$9-AF9</f>
        <v>9342.8421212832</v>
      </c>
      <c r="AH9" s="373">
        <f t="shared" si="6"/>
        <v>112862.253184</v>
      </c>
      <c r="AI9" s="377">
        <f>H9*0.35</f>
        <v>4937.7235768</v>
      </c>
      <c r="AJ9" s="373">
        <f>$H$9-$L$9-AI9</f>
        <v>9074.5773123231993</v>
      </c>
      <c r="AK9" s="373">
        <f t="shared" si="7"/>
        <v>126970.034832</v>
      </c>
      <c r="AL9" s="377">
        <f>H9*0.35</f>
        <v>4937.7235768</v>
      </c>
      <c r="AM9" s="373">
        <f>$H$9-$L$9-AL9</f>
        <v>9074.5773123231993</v>
      </c>
      <c r="AN9" s="373">
        <f t="shared" si="8"/>
        <v>141077.81648000001</v>
      </c>
      <c r="AO9" s="377">
        <f t="shared" si="17"/>
        <v>4937.7235768</v>
      </c>
      <c r="AP9" s="373">
        <f>$H$9-$L$9-AO9</f>
        <v>9074.5773123231993</v>
      </c>
      <c r="AQ9" s="373">
        <f t="shared" si="9"/>
        <v>155185.59812800001</v>
      </c>
      <c r="AR9" s="377">
        <f t="shared" si="18"/>
        <v>4937.7235768</v>
      </c>
      <c r="AS9" s="373">
        <f>$H$9-$L$9-AR9</f>
        <v>9074.5773123231993</v>
      </c>
      <c r="AT9" s="373">
        <f t="shared" si="10"/>
        <v>169293.37977599999</v>
      </c>
      <c r="AU9" s="377">
        <f t="shared" si="22"/>
        <v>4937.7235768</v>
      </c>
      <c r="AV9" s="373">
        <f>$H$9-$L$9-AU9</f>
        <v>9074.5773123231993</v>
      </c>
      <c r="AW9" s="371"/>
    </row>
    <row r="10" spans="1:49" s="233" customFormat="1" ht="30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23"/>
        <v>19983.72</v>
      </c>
      <c r="G10" s="233">
        <v>359</v>
      </c>
      <c r="H10" s="353">
        <f t="shared" si="20"/>
        <v>12620.966096</v>
      </c>
      <c r="I10" s="363">
        <v>0.51</v>
      </c>
      <c r="J10" s="362">
        <v>8900</v>
      </c>
      <c r="K10" s="361">
        <f t="shared" si="11"/>
        <v>8952.1268528330656</v>
      </c>
      <c r="L10" s="372">
        <f t="shared" si="12"/>
        <v>85.667776233599994</v>
      </c>
      <c r="M10" s="373">
        <f t="shared" si="13"/>
        <v>12620.966096</v>
      </c>
      <c r="N10" s="374">
        <f t="shared" si="24"/>
        <v>2024.1932191999999</v>
      </c>
      <c r="O10" s="373">
        <f>$H$10-$L$10-N10</f>
        <v>10511.105100566399</v>
      </c>
      <c r="P10" s="373">
        <f t="shared" si="14"/>
        <v>25241.932192</v>
      </c>
      <c r="Q10" s="376">
        <f>(P10-25000)*0.27+(25000-M10)*0.2</f>
        <v>2541.1284726399999</v>
      </c>
      <c r="R10" s="373">
        <f>$H$10-$L$10-Q10</f>
        <v>9994.169847126399</v>
      </c>
      <c r="S10" s="373">
        <f t="shared" si="0"/>
        <v>37862.898287999997</v>
      </c>
      <c r="T10" s="376">
        <f t="shared" si="25"/>
        <v>3407.6608459200002</v>
      </c>
      <c r="U10" s="373">
        <f>$H$10-$L$10-T10</f>
        <v>9127.6374738464001</v>
      </c>
      <c r="V10" s="373">
        <f t="shared" si="1"/>
        <v>50483.864384</v>
      </c>
      <c r="W10" s="376">
        <f t="shared" si="2"/>
        <v>3407.6608459200002</v>
      </c>
      <c r="X10" s="373">
        <f>$H$10-$L$10-W10</f>
        <v>9127.6374738464001</v>
      </c>
      <c r="Y10" s="373">
        <f t="shared" si="3"/>
        <v>63104.830480000004</v>
      </c>
      <c r="Z10" s="376">
        <f t="shared" si="15"/>
        <v>3407.6608459200002</v>
      </c>
      <c r="AA10" s="373">
        <f>$H$10-$L$10-Z10</f>
        <v>9127.6374738464001</v>
      </c>
      <c r="AB10" s="373">
        <f t="shared" si="4"/>
        <v>75725.796575999993</v>
      </c>
      <c r="AC10" s="376">
        <f t="shared" si="16"/>
        <v>3407.6608459200002</v>
      </c>
      <c r="AD10" s="373">
        <f>$H$10-$L$10-AC10</f>
        <v>9127.6374738464001</v>
      </c>
      <c r="AE10" s="373">
        <f t="shared" si="5"/>
        <v>88346.762671999997</v>
      </c>
      <c r="AF10" s="377">
        <f>(AE10-88000)*0.35+(88000-AB10)*0.27</f>
        <v>3435.4018596800006</v>
      </c>
      <c r="AG10" s="373">
        <f>$H$10-$L$10-AF10</f>
        <v>9099.8964600863983</v>
      </c>
      <c r="AH10" s="373">
        <f t="shared" si="6"/>
        <v>100967.728768</v>
      </c>
      <c r="AI10" s="377">
        <f>H10*0.35</f>
        <v>4417.3381335999993</v>
      </c>
      <c r="AJ10" s="373">
        <f>$H$10-$L$10-AI10</f>
        <v>8117.9601861664005</v>
      </c>
      <c r="AK10" s="373">
        <f t="shared" si="7"/>
        <v>113588.694864</v>
      </c>
      <c r="AL10" s="377">
        <f>H10*0.35</f>
        <v>4417.3381335999993</v>
      </c>
      <c r="AM10" s="373">
        <f>$H$10-$L$10-AL10</f>
        <v>8117.9601861664005</v>
      </c>
      <c r="AN10" s="373">
        <f t="shared" si="8"/>
        <v>126209.66096000001</v>
      </c>
      <c r="AO10" s="377">
        <f t="shared" si="17"/>
        <v>4417.3381335999993</v>
      </c>
      <c r="AP10" s="373">
        <f>$H$10-$L$10-AO10</f>
        <v>8117.9601861664005</v>
      </c>
      <c r="AQ10" s="373">
        <f t="shared" si="9"/>
        <v>138830.627056</v>
      </c>
      <c r="AR10" s="377">
        <f t="shared" si="18"/>
        <v>4417.3381335999993</v>
      </c>
      <c r="AS10" s="373">
        <f>$H$10-$L$10-AR10</f>
        <v>8117.9601861664005</v>
      </c>
      <c r="AT10" s="373">
        <f t="shared" si="10"/>
        <v>151451.59315199999</v>
      </c>
      <c r="AU10" s="377">
        <f t="shared" si="22"/>
        <v>4417.3381335999993</v>
      </c>
      <c r="AV10" s="373">
        <f>$H$10-$L$10-AU10</f>
        <v>8117.9601861664005</v>
      </c>
      <c r="AW10" s="371"/>
    </row>
    <row r="11" spans="1:49" s="233" customFormat="1" ht="30" customHeight="1" x14ac:dyDescent="0.45">
      <c r="A11" s="728"/>
      <c r="B11" s="387" t="s">
        <v>234</v>
      </c>
      <c r="C11" s="231">
        <v>300</v>
      </c>
      <c r="D11" s="238">
        <v>6661</v>
      </c>
      <c r="E11" s="234">
        <v>9992.0399999999991</v>
      </c>
      <c r="F11" s="234">
        <f t="shared" si="23"/>
        <v>16653.04</v>
      </c>
      <c r="G11" s="233">
        <v>359</v>
      </c>
      <c r="H11" s="353">
        <f t="shared" si="20"/>
        <v>10297.816795999999</v>
      </c>
      <c r="I11" s="363">
        <v>0.43</v>
      </c>
      <c r="J11" s="362">
        <v>7400</v>
      </c>
      <c r="K11" s="361">
        <f t="shared" si="11"/>
        <v>7457.4125932130655</v>
      </c>
      <c r="L11" s="372">
        <f t="shared" si="12"/>
        <v>70.33499085359999</v>
      </c>
      <c r="M11" s="373">
        <f t="shared" si="13"/>
        <v>10297.816795999999</v>
      </c>
      <c r="N11" s="374">
        <f t="shared" si="24"/>
        <v>1559.5633591999999</v>
      </c>
      <c r="O11" s="373">
        <f>$H$11-$L$11-N11</f>
        <v>8667.9184459463995</v>
      </c>
      <c r="P11" s="373">
        <f t="shared" si="14"/>
        <v>20595.633591999998</v>
      </c>
      <c r="Q11" s="374">
        <f>H11*0.2</f>
        <v>2059.5633591999999</v>
      </c>
      <c r="R11" s="373">
        <f>$H$11-$L$11-Q11</f>
        <v>8167.9184459463995</v>
      </c>
      <c r="S11" s="373">
        <f t="shared" si="0"/>
        <v>30893.450387999997</v>
      </c>
      <c r="T11" s="376">
        <f>(S11-25000)*0.27+(25000-P11)*0.2</f>
        <v>2472.1048863599999</v>
      </c>
      <c r="U11" s="373">
        <f>$H$11-$L$11-T11</f>
        <v>7755.3769187863991</v>
      </c>
      <c r="V11" s="373">
        <f t="shared" si="1"/>
        <v>41191.267183999997</v>
      </c>
      <c r="W11" s="376">
        <f t="shared" si="2"/>
        <v>2780.4105349199999</v>
      </c>
      <c r="X11" s="373">
        <f>$H$11-$L$11-W11</f>
        <v>7447.0712702263991</v>
      </c>
      <c r="Y11" s="373">
        <f t="shared" si="3"/>
        <v>51489.083979999996</v>
      </c>
      <c r="Z11" s="376">
        <f t="shared" si="15"/>
        <v>2780.4105349199999</v>
      </c>
      <c r="AA11" s="373">
        <f>$H$11-$L$11-Z11</f>
        <v>7447.0712702263991</v>
      </c>
      <c r="AB11" s="373">
        <f t="shared" si="4"/>
        <v>61786.900775999995</v>
      </c>
      <c r="AC11" s="376">
        <f t="shared" si="16"/>
        <v>2780.4105349199999</v>
      </c>
      <c r="AD11" s="373">
        <f>$H$11-$L$11-AC11</f>
        <v>7447.0712702263991</v>
      </c>
      <c r="AE11" s="373">
        <f t="shared" si="5"/>
        <v>72084.717571999994</v>
      </c>
      <c r="AF11" s="376">
        <f>H11*0.27</f>
        <v>2780.4105349199999</v>
      </c>
      <c r="AG11" s="373">
        <f>$H$11-$L$11-AF11</f>
        <v>7447.0712702263991</v>
      </c>
      <c r="AH11" s="373">
        <f t="shared" si="6"/>
        <v>82382.534367999993</v>
      </c>
      <c r="AI11" s="376">
        <f>H11*0.27</f>
        <v>2780.4105349199999</v>
      </c>
      <c r="AJ11" s="373">
        <f>$H$11-$L$11-AI11</f>
        <v>7447.0712702263991</v>
      </c>
      <c r="AK11" s="373">
        <f t="shared" si="7"/>
        <v>92680.351163999992</v>
      </c>
      <c r="AL11" s="377">
        <f>(AK11-88000)*0.35+(88000-AH11)*0.27</f>
        <v>3154.8386280399991</v>
      </c>
      <c r="AM11" s="373">
        <f>$H$11-$L$11-AL11</f>
        <v>7072.6431771063999</v>
      </c>
      <c r="AN11" s="373">
        <f t="shared" si="8"/>
        <v>102978.16795999999</v>
      </c>
      <c r="AO11" s="377">
        <f t="shared" si="17"/>
        <v>3604.2358785999995</v>
      </c>
      <c r="AP11" s="373">
        <f>$H$11-$L$11-AO11</f>
        <v>6623.2459265463995</v>
      </c>
      <c r="AQ11" s="373">
        <f t="shared" si="9"/>
        <v>113275.98475599999</v>
      </c>
      <c r="AR11" s="377">
        <f t="shared" si="18"/>
        <v>3604.2358785999995</v>
      </c>
      <c r="AS11" s="373">
        <f>$H$11-$L$11-AR11</f>
        <v>6623.2459265463995</v>
      </c>
      <c r="AT11" s="373">
        <f t="shared" si="10"/>
        <v>123573.80155199999</v>
      </c>
      <c r="AU11" s="377">
        <f t="shared" si="22"/>
        <v>3604.2358785999995</v>
      </c>
      <c r="AV11" s="373">
        <f>$H$11-$L$11-AU11</f>
        <v>6623.2459265463995</v>
      </c>
      <c r="AW11" s="371"/>
    </row>
    <row r="12" spans="1:49" s="380" customFormat="1" ht="30" customHeight="1" x14ac:dyDescent="0.45">
      <c r="A12" s="728"/>
      <c r="B12" s="387" t="s">
        <v>236</v>
      </c>
      <c r="C12" s="231">
        <v>300</v>
      </c>
      <c r="D12" s="238">
        <v>6661</v>
      </c>
      <c r="E12" s="234">
        <v>9992.0399999999991</v>
      </c>
      <c r="F12" s="234">
        <f t="shared" si="23"/>
        <v>16653.04</v>
      </c>
      <c r="G12" s="233">
        <v>359</v>
      </c>
      <c r="H12" s="353">
        <f t="shared" si="20"/>
        <v>10019.03888</v>
      </c>
      <c r="I12" s="363">
        <v>0.4</v>
      </c>
      <c r="J12" s="362">
        <v>7200</v>
      </c>
      <c r="K12" s="361">
        <f t="shared" si="11"/>
        <v>7278.0468820586657</v>
      </c>
      <c r="L12" s="372">
        <f t="shared" si="12"/>
        <v>68.495056607999999</v>
      </c>
      <c r="M12" s="373">
        <f t="shared" si="13"/>
        <v>10019.03888</v>
      </c>
      <c r="N12" s="381">
        <f t="shared" si="24"/>
        <v>1503.8077760000001</v>
      </c>
      <c r="O12" s="373">
        <f>$H$12-$L$12-N12</f>
        <v>8446.7360473919998</v>
      </c>
      <c r="P12" s="373">
        <f t="shared" si="14"/>
        <v>20038.07776</v>
      </c>
      <c r="Q12" s="381">
        <f>H12*0.2</f>
        <v>2003.8077760000001</v>
      </c>
      <c r="R12" s="373">
        <f>$H$12-$L$12-Q12</f>
        <v>7946.7360473919998</v>
      </c>
      <c r="S12" s="373">
        <f t="shared" si="0"/>
        <v>30057.11664</v>
      </c>
      <c r="T12" s="382">
        <f>(S12-25000)*0.27+(25000-P12)*0.2</f>
        <v>2357.8059407999999</v>
      </c>
      <c r="U12" s="373">
        <f>$H$12-$L$12-T12</f>
        <v>7592.7378825919996</v>
      </c>
      <c r="V12" s="373">
        <f t="shared" si="1"/>
        <v>40076.15552</v>
      </c>
      <c r="W12" s="382">
        <f t="shared" si="2"/>
        <v>2705.1404976000003</v>
      </c>
      <c r="X12" s="373">
        <f>$H$12-$L$12-W12</f>
        <v>7245.4033257919991</v>
      </c>
      <c r="Y12" s="373">
        <f t="shared" si="3"/>
        <v>50095.1944</v>
      </c>
      <c r="Z12" s="382">
        <f t="shared" si="15"/>
        <v>2705.1404976000003</v>
      </c>
      <c r="AA12" s="373">
        <f>$H$12-$L$12-Z12</f>
        <v>7245.4033257919991</v>
      </c>
      <c r="AB12" s="373">
        <f t="shared" si="4"/>
        <v>60114.23328</v>
      </c>
      <c r="AC12" s="382">
        <f t="shared" si="16"/>
        <v>2705.1404976000003</v>
      </c>
      <c r="AD12" s="373">
        <f>$H$12-$L$12-AC12</f>
        <v>7245.4033257919991</v>
      </c>
      <c r="AE12" s="373">
        <f t="shared" si="5"/>
        <v>70133.272159999993</v>
      </c>
      <c r="AF12" s="382">
        <f>H12*0.27</f>
        <v>2705.1404976000003</v>
      </c>
      <c r="AG12" s="373">
        <f>$H$12-$L$12-AF12</f>
        <v>7245.4033257919991</v>
      </c>
      <c r="AH12" s="373">
        <f t="shared" si="6"/>
        <v>80152.311040000001</v>
      </c>
      <c r="AI12" s="376">
        <f>H12*0.27</f>
        <v>2705.1404976000003</v>
      </c>
      <c r="AJ12" s="373">
        <f>$H$12-$L$12-AI12</f>
        <v>7245.4033257919991</v>
      </c>
      <c r="AK12" s="373">
        <f t="shared" si="7"/>
        <v>90171.349920000008</v>
      </c>
      <c r="AL12" s="377">
        <f>(AK12-88000)*0.35+(88000-AH12)*0.27</f>
        <v>2878.8484912000026</v>
      </c>
      <c r="AM12" s="373">
        <f>$H$12-$L$12-AL12</f>
        <v>7071.6953321919973</v>
      </c>
      <c r="AN12" s="373">
        <f t="shared" si="8"/>
        <v>100190.3888</v>
      </c>
      <c r="AO12" s="383">
        <f t="shared" si="17"/>
        <v>3506.6636079999998</v>
      </c>
      <c r="AP12" s="373">
        <f>$H$12-$L$12-AO12</f>
        <v>6443.8802153919996</v>
      </c>
      <c r="AQ12" s="373">
        <f t="shared" si="9"/>
        <v>110209.42767999999</v>
      </c>
      <c r="AR12" s="383">
        <f t="shared" si="18"/>
        <v>3506.6636079999998</v>
      </c>
      <c r="AS12" s="373">
        <f>$H$12-$L$12-AR12</f>
        <v>6443.8802153919996</v>
      </c>
      <c r="AT12" s="373">
        <f t="shared" si="10"/>
        <v>120228.46656</v>
      </c>
      <c r="AU12" s="383">
        <f t="shared" si="22"/>
        <v>3506.6636079999998</v>
      </c>
      <c r="AV12" s="373">
        <f>$H$12-$L$12-AU12</f>
        <v>6443.8802153919996</v>
      </c>
      <c r="AW12" s="384"/>
    </row>
    <row r="13" spans="1:49" s="233" customFormat="1" ht="30" customHeight="1" x14ac:dyDescent="0.45">
      <c r="A13" s="728"/>
      <c r="B13" s="387" t="s">
        <v>235</v>
      </c>
      <c r="C13" s="231">
        <v>300</v>
      </c>
      <c r="D13" s="238">
        <v>6661</v>
      </c>
      <c r="E13" s="234">
        <v>9992.0399999999991</v>
      </c>
      <c r="F13" s="234">
        <f t="shared" si="23"/>
        <v>16653.04</v>
      </c>
      <c r="G13" s="233">
        <v>359</v>
      </c>
      <c r="H13" s="353">
        <f t="shared" si="20"/>
        <v>9368.557076000001</v>
      </c>
      <c r="I13" s="363">
        <v>0.33</v>
      </c>
      <c r="J13" s="362">
        <v>6800</v>
      </c>
      <c r="K13" s="361">
        <f t="shared" si="11"/>
        <v>6859.5268893650682</v>
      </c>
      <c r="L13" s="372">
        <f t="shared" si="12"/>
        <v>64.2018767016</v>
      </c>
      <c r="M13" s="373">
        <f t="shared" si="13"/>
        <v>9368.557076000001</v>
      </c>
      <c r="N13" s="378">
        <f>(M13*0.15)</f>
        <v>1405.2835614000001</v>
      </c>
      <c r="O13" s="373">
        <f>$H$13-$L$13-N13</f>
        <v>7899.0716378984016</v>
      </c>
      <c r="P13" s="373">
        <f t="shared" si="14"/>
        <v>18737.114152000002</v>
      </c>
      <c r="Q13" s="374">
        <f>(P13-10000)*0.2+(10000-M13)*0.15</f>
        <v>1842.1392690000005</v>
      </c>
      <c r="R13" s="373">
        <f>$H$13-$L$13-Q13</f>
        <v>7462.215930298401</v>
      </c>
      <c r="S13" s="373">
        <f t="shared" si="0"/>
        <v>28105.671228000003</v>
      </c>
      <c r="T13" s="376">
        <f>(S13-25000)*0.27+(25000-P13)*0.2</f>
        <v>2091.1084011600005</v>
      </c>
      <c r="U13" s="373">
        <f>$H$13-$L$13-T13</f>
        <v>7213.2467981384007</v>
      </c>
      <c r="V13" s="373">
        <f t="shared" si="1"/>
        <v>37474.228304000004</v>
      </c>
      <c r="W13" s="376">
        <f t="shared" si="2"/>
        <v>2529.5104105200003</v>
      </c>
      <c r="X13" s="373">
        <f>$H$13-$L$13-W13</f>
        <v>6774.8447887784005</v>
      </c>
      <c r="Y13" s="373">
        <f t="shared" si="3"/>
        <v>46842.785380000001</v>
      </c>
      <c r="Z13" s="376">
        <f t="shared" si="15"/>
        <v>2529.5104105200003</v>
      </c>
      <c r="AA13" s="373">
        <f>$H$13-$L$13-Z13</f>
        <v>6774.8447887784005</v>
      </c>
      <c r="AB13" s="373">
        <f t="shared" si="4"/>
        <v>56211.342456000006</v>
      </c>
      <c r="AC13" s="376">
        <f t="shared" si="16"/>
        <v>2529.5104105200003</v>
      </c>
      <c r="AD13" s="373">
        <f>$H$13-$L$13-AC13</f>
        <v>6774.8447887784005</v>
      </c>
      <c r="AE13" s="373">
        <f t="shared" si="5"/>
        <v>65579.89953200001</v>
      </c>
      <c r="AF13" s="376">
        <f>H13*0.27</f>
        <v>2529.5104105200003</v>
      </c>
      <c r="AG13" s="373">
        <f>$H$13-$L$13-AF13</f>
        <v>6774.8447887784005</v>
      </c>
      <c r="AH13" s="373">
        <f t="shared" si="6"/>
        <v>74948.456608000008</v>
      </c>
      <c r="AI13" s="376">
        <f>H13*0.27</f>
        <v>2529.5104105200003</v>
      </c>
      <c r="AJ13" s="373">
        <f>$H$13-$L$13-AI13</f>
        <v>6774.8447887784005</v>
      </c>
      <c r="AK13" s="373">
        <f t="shared" si="7"/>
        <v>84317.013684000005</v>
      </c>
      <c r="AL13" s="376">
        <f>H13*0.27</f>
        <v>2529.5104105200003</v>
      </c>
      <c r="AM13" s="373">
        <f>$H$13-$L$13-AL13</f>
        <v>6774.8447887784005</v>
      </c>
      <c r="AN13" s="373">
        <f t="shared" si="8"/>
        <v>93685.570760000002</v>
      </c>
      <c r="AO13" s="377">
        <f>(AN13-88000)*0.35+(88000-AK13)*0.27</f>
        <v>2984.3560713199995</v>
      </c>
      <c r="AP13" s="373">
        <f>$H$13-$L$13-AO13</f>
        <v>6319.9991279784017</v>
      </c>
      <c r="AQ13" s="373">
        <f t="shared" si="9"/>
        <v>103054.12783600001</v>
      </c>
      <c r="AR13" s="377">
        <f t="shared" si="18"/>
        <v>3278.9949766</v>
      </c>
      <c r="AS13" s="373">
        <f>$H$13-$L$13-AR13</f>
        <v>6025.3602226984012</v>
      </c>
      <c r="AT13" s="373">
        <f t="shared" si="10"/>
        <v>112422.68491200001</v>
      </c>
      <c r="AU13" s="377">
        <f t="shared" si="22"/>
        <v>3278.9949766</v>
      </c>
      <c r="AV13" s="373">
        <f>$H$13-$L$13-AU13</f>
        <v>6025.3602226984012</v>
      </c>
      <c r="AW13" s="371"/>
    </row>
    <row r="14" spans="1:49" s="233" customFormat="1" ht="30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23"/>
        <v>16653.04</v>
      </c>
      <c r="G14" s="233">
        <v>359</v>
      </c>
      <c r="H14" s="353">
        <f t="shared" si="20"/>
        <v>9089.77916</v>
      </c>
      <c r="I14" s="363">
        <v>0.3</v>
      </c>
      <c r="J14" s="362">
        <v>6200</v>
      </c>
      <c r="K14" s="361">
        <f t="shared" si="11"/>
        <v>6680.1611782106675</v>
      </c>
      <c r="L14" s="372">
        <f t="shared" si="12"/>
        <v>62.361942456000001</v>
      </c>
      <c r="M14" s="373">
        <f t="shared" si="13"/>
        <v>9089.77916</v>
      </c>
      <c r="N14" s="378">
        <f>(M14*0.15)</f>
        <v>1363.466874</v>
      </c>
      <c r="O14" s="373">
        <f>$H$14-$L$14-N14</f>
        <v>7663.9503435440001</v>
      </c>
      <c r="P14" s="373">
        <f t="shared" si="14"/>
        <v>18179.55832</v>
      </c>
      <c r="Q14" s="374">
        <f>(P14-10000)*0.2+(10000-M14)*0.15</f>
        <v>1772.4447900000002</v>
      </c>
      <c r="R14" s="373">
        <f>$H$14-$L$14-Q14</f>
        <v>7254.9724275439994</v>
      </c>
      <c r="S14" s="373">
        <f t="shared" si="0"/>
        <v>27269.337480000002</v>
      </c>
      <c r="T14" s="376">
        <f>(S14-25000)*0.27+(25000-P14)*0.2</f>
        <v>1976.8094556000005</v>
      </c>
      <c r="U14" s="373">
        <f>$H$14-$L$14-T14</f>
        <v>7050.6077619439993</v>
      </c>
      <c r="V14" s="373">
        <f t="shared" si="1"/>
        <v>36359.11664</v>
      </c>
      <c r="W14" s="376">
        <f t="shared" si="2"/>
        <v>2454.2403732000002</v>
      </c>
      <c r="X14" s="373">
        <f>$H$14-$L$14-W14</f>
        <v>6573.1768443439996</v>
      </c>
      <c r="Y14" s="373">
        <f t="shared" si="3"/>
        <v>45448.895799999998</v>
      </c>
      <c r="Z14" s="376">
        <f t="shared" si="15"/>
        <v>2454.2403732000002</v>
      </c>
      <c r="AA14" s="373">
        <f>$H$14-$L$14-Z14</f>
        <v>6573.1768443439996</v>
      </c>
      <c r="AB14" s="373">
        <f t="shared" si="4"/>
        <v>54538.674960000004</v>
      </c>
      <c r="AC14" s="376">
        <f t="shared" si="16"/>
        <v>2454.2403732000002</v>
      </c>
      <c r="AD14" s="373">
        <f>$H$14-$L$14-AC14</f>
        <v>6573.1768443439996</v>
      </c>
      <c r="AE14" s="373">
        <f t="shared" si="5"/>
        <v>63628.454120000002</v>
      </c>
      <c r="AF14" s="376">
        <f>H14*0.27</f>
        <v>2454.2403732000002</v>
      </c>
      <c r="AG14" s="373">
        <f>$H$14-$L$14-AF14</f>
        <v>6573.1768443439996</v>
      </c>
      <c r="AH14" s="373">
        <f t="shared" si="6"/>
        <v>72718.23328</v>
      </c>
      <c r="AI14" s="376">
        <f>H14*0.27</f>
        <v>2454.2403732000002</v>
      </c>
      <c r="AJ14" s="373">
        <f>$H$14-$L$14-AI14</f>
        <v>6573.1768443439996</v>
      </c>
      <c r="AK14" s="373">
        <f t="shared" si="7"/>
        <v>81808.012440000006</v>
      </c>
      <c r="AL14" s="376">
        <f>H14*0.27</f>
        <v>2454.2403732000002</v>
      </c>
      <c r="AM14" s="373">
        <f>$H$14-$L$14-AL14</f>
        <v>6573.1768443439996</v>
      </c>
      <c r="AN14" s="373">
        <f t="shared" si="8"/>
        <v>90897.791599999997</v>
      </c>
      <c r="AO14" s="377">
        <f>(AN14-88000)*0.35+(88000-AK14)*0.27</f>
        <v>2686.063701199997</v>
      </c>
      <c r="AP14" s="373">
        <f>$H$14-$L$14-AO14</f>
        <v>6341.3535163440029</v>
      </c>
      <c r="AQ14" s="373">
        <f t="shared" si="9"/>
        <v>99987.570760000002</v>
      </c>
      <c r="AR14" s="377">
        <f t="shared" si="18"/>
        <v>3181.4227059999998</v>
      </c>
      <c r="AS14" s="373">
        <f>$H$14-$L$14-AR14</f>
        <v>5845.9945115440005</v>
      </c>
      <c r="AT14" s="373">
        <f t="shared" si="10"/>
        <v>109077.34992000001</v>
      </c>
      <c r="AU14" s="377">
        <f t="shared" si="22"/>
        <v>3181.4227059999998</v>
      </c>
      <c r="AV14" s="373">
        <f>$H$14-$L$14-AU14</f>
        <v>5845.9945115440005</v>
      </c>
      <c r="AW14" s="371"/>
    </row>
    <row r="15" spans="1:49" s="233" customFormat="1" ht="30" customHeight="1" x14ac:dyDescent="0.45">
      <c r="A15" s="730" t="s">
        <v>15</v>
      </c>
      <c r="B15" s="387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23"/>
        <v>24980.1</v>
      </c>
      <c r="G15" s="233">
        <v>359</v>
      </c>
      <c r="H15" s="353">
        <f t="shared" si="20"/>
        <v>17274.952192000001</v>
      </c>
      <c r="I15" s="363">
        <v>0.68</v>
      </c>
      <c r="J15" s="362">
        <v>11900</v>
      </c>
      <c r="K15" s="361">
        <f t="shared" si="11"/>
        <v>11946.501506999464</v>
      </c>
      <c r="L15" s="372">
        <f t="shared" si="12"/>
        <v>116.3840844672</v>
      </c>
      <c r="M15" s="373">
        <f t="shared" si="13"/>
        <v>17274.952192000001</v>
      </c>
      <c r="N15" s="374">
        <f t="shared" si="24"/>
        <v>2954.9904384000001</v>
      </c>
      <c r="O15" s="373">
        <f>$H$15-$L$15-N15</f>
        <v>14203.577669132799</v>
      </c>
      <c r="P15" s="373">
        <f t="shared" si="14"/>
        <v>34549.904384000001</v>
      </c>
      <c r="Q15" s="376">
        <f>(P15-25000)*0.27+(25000-M15)*0.2</f>
        <v>4123.4837452800002</v>
      </c>
      <c r="R15" s="373">
        <f>$H$15-$L$15-Q15</f>
        <v>13035.084362252799</v>
      </c>
      <c r="S15" s="373">
        <f t="shared" si="0"/>
        <v>51824.856576000006</v>
      </c>
      <c r="T15" s="376">
        <f>H15*0.27</f>
        <v>4664.2370918400002</v>
      </c>
      <c r="U15" s="373">
        <f>$H$15-$L$15-T15</f>
        <v>12494.331015692798</v>
      </c>
      <c r="V15" s="373">
        <f t="shared" si="1"/>
        <v>69099.808768000003</v>
      </c>
      <c r="W15" s="376">
        <f t="shared" si="2"/>
        <v>4664.2370918400002</v>
      </c>
      <c r="X15" s="373">
        <f>$H$15-$L$15-W15</f>
        <v>12494.331015692798</v>
      </c>
      <c r="Y15" s="373">
        <f t="shared" si="3"/>
        <v>86374.76096</v>
      </c>
      <c r="Z15" s="376">
        <f t="shared" si="15"/>
        <v>4664.2370918400002</v>
      </c>
      <c r="AA15" s="373">
        <f>$H$15-$L$15-Z15</f>
        <v>12494.331015692798</v>
      </c>
      <c r="AB15" s="373">
        <f t="shared" si="4"/>
        <v>103649.71315200001</v>
      </c>
      <c r="AC15" s="377">
        <f>(AB15-88000)*0.35+(88000-Y15)*0.27</f>
        <v>5916.2141440000032</v>
      </c>
      <c r="AD15" s="373">
        <f>$H$15-$L$15-AC15</f>
        <v>11242.353963532796</v>
      </c>
      <c r="AE15" s="373">
        <f t="shared" si="5"/>
        <v>120924.66534400001</v>
      </c>
      <c r="AF15" s="377">
        <f>H15*0.35</f>
        <v>6046.2332672000002</v>
      </c>
      <c r="AG15" s="373">
        <f>$H$15-$L$15-AF15</f>
        <v>11112.334840332798</v>
      </c>
      <c r="AH15" s="373">
        <f t="shared" si="6"/>
        <v>138199.61753600001</v>
      </c>
      <c r="AI15" s="377">
        <f>H15*0.35</f>
        <v>6046.2332672000002</v>
      </c>
      <c r="AJ15" s="373">
        <f>$H$15-$L$15-AI15</f>
        <v>11112.334840332798</v>
      </c>
      <c r="AK15" s="373">
        <f t="shared" si="7"/>
        <v>155474.569728</v>
      </c>
      <c r="AL15" s="377">
        <f>H15*0.35</f>
        <v>6046.2332672000002</v>
      </c>
      <c r="AM15" s="373">
        <f>$H$15-$L$15-AL15</f>
        <v>11112.334840332798</v>
      </c>
      <c r="AN15" s="373">
        <f t="shared" si="8"/>
        <v>172749.52192</v>
      </c>
      <c r="AO15" s="377">
        <f>H15*0.35</f>
        <v>6046.2332672000002</v>
      </c>
      <c r="AP15" s="373">
        <f>$H$15-$L$15-AO15</f>
        <v>11112.334840332798</v>
      </c>
      <c r="AQ15" s="373">
        <f t="shared" si="9"/>
        <v>190024.474112</v>
      </c>
      <c r="AR15" s="377">
        <f t="shared" si="18"/>
        <v>6046.2332672000002</v>
      </c>
      <c r="AS15" s="373">
        <f>$H$15-$L$15-AR15</f>
        <v>11112.334840332798</v>
      </c>
      <c r="AT15" s="373">
        <f t="shared" si="10"/>
        <v>207299.42630400002</v>
      </c>
      <c r="AU15" s="377">
        <f t="shared" si="22"/>
        <v>6046.2332672000002</v>
      </c>
      <c r="AV15" s="373">
        <f>$H$15-$L$15-AU15</f>
        <v>11112.334840332798</v>
      </c>
      <c r="AW15" s="371"/>
    </row>
    <row r="16" spans="1:49" s="233" customFormat="1" ht="30" customHeight="1" x14ac:dyDescent="0.45">
      <c r="A16" s="730"/>
      <c r="B16" s="387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23"/>
        <v>24980.1</v>
      </c>
      <c r="G16" s="233">
        <v>359</v>
      </c>
      <c r="H16" s="353">
        <f t="shared" si="20"/>
        <v>11141.838039999999</v>
      </c>
      <c r="I16" s="363">
        <v>0.35</v>
      </c>
      <c r="J16" s="362">
        <v>8000</v>
      </c>
      <c r="K16" s="361">
        <f t="shared" si="11"/>
        <v>8000.4558616026688</v>
      </c>
      <c r="L16" s="372">
        <f t="shared" si="12"/>
        <v>75.905531063999987</v>
      </c>
      <c r="M16" s="373">
        <f t="shared" si="13"/>
        <v>11141.838039999999</v>
      </c>
      <c r="N16" s="374">
        <f t="shared" si="24"/>
        <v>1728.3676079999998</v>
      </c>
      <c r="O16" s="373">
        <f>$H$16-$L$16-N16</f>
        <v>9337.5649009359986</v>
      </c>
      <c r="P16" s="373">
        <f t="shared" si="14"/>
        <v>22283.676079999997</v>
      </c>
      <c r="Q16" s="374">
        <f>H16*0.2</f>
        <v>2228.367608</v>
      </c>
      <c r="R16" s="373">
        <f>$H$16-$L$16-Q16</f>
        <v>8837.5649009359986</v>
      </c>
      <c r="S16" s="373">
        <f t="shared" si="0"/>
        <v>33425.514119999993</v>
      </c>
      <c r="T16" s="376">
        <f>(S16-25000)*0.27+(25000-P16)*0.2</f>
        <v>2818.1535963999986</v>
      </c>
      <c r="U16" s="373">
        <f>$H$16-$L$16-T16</f>
        <v>8247.7789125359996</v>
      </c>
      <c r="V16" s="373">
        <f t="shared" si="1"/>
        <v>44567.352159999995</v>
      </c>
      <c r="W16" s="376">
        <f t="shared" si="2"/>
        <v>3008.2962708</v>
      </c>
      <c r="X16" s="373">
        <f>$H$16-$L$16-W16</f>
        <v>8057.6362381359995</v>
      </c>
      <c r="Y16" s="373">
        <f t="shared" si="3"/>
        <v>55709.190199999997</v>
      </c>
      <c r="Z16" s="376">
        <f t="shared" si="15"/>
        <v>3008.2962708</v>
      </c>
      <c r="AA16" s="373">
        <f>$H$16-$L$16-Z16</f>
        <v>8057.6362381359995</v>
      </c>
      <c r="AB16" s="373">
        <f t="shared" si="4"/>
        <v>66851.028239999985</v>
      </c>
      <c r="AC16" s="376">
        <f t="shared" ref="AC16:AC26" si="26">H16*0.27</f>
        <v>3008.2962708</v>
      </c>
      <c r="AD16" s="373">
        <f>$H$16-$L$16-AC16</f>
        <v>8057.6362381359995</v>
      </c>
      <c r="AE16" s="373">
        <f t="shared" si="5"/>
        <v>77992.866279999987</v>
      </c>
      <c r="AF16" s="376">
        <f>H16*0.27</f>
        <v>3008.2962708</v>
      </c>
      <c r="AG16" s="373">
        <f>$H$16-$L$16-AF16</f>
        <v>8057.6362381359995</v>
      </c>
      <c r="AH16" s="373">
        <f t="shared" si="6"/>
        <v>89134.70431999999</v>
      </c>
      <c r="AI16" s="377">
        <f>(AH16-88000)*0.35+(88000-AE16)*0.27</f>
        <v>3099.0726163999998</v>
      </c>
      <c r="AJ16" s="373">
        <f>$H$16-$L$16-AI16</f>
        <v>7966.8598925359993</v>
      </c>
      <c r="AK16" s="373">
        <f t="shared" si="7"/>
        <v>100276.54235999999</v>
      </c>
      <c r="AL16" s="377">
        <f>H16*0.35</f>
        <v>3899.6433139999995</v>
      </c>
      <c r="AM16" s="373">
        <f>$H$16-$L$16-AL16</f>
        <v>7166.2891949360001</v>
      </c>
      <c r="AN16" s="373">
        <f t="shared" si="8"/>
        <v>111418.38039999999</v>
      </c>
      <c r="AO16" s="377">
        <f>H16*0.35</f>
        <v>3899.6433139999995</v>
      </c>
      <c r="AP16" s="373">
        <f>$H$16-$L$16-AO16</f>
        <v>7166.2891949360001</v>
      </c>
      <c r="AQ16" s="373">
        <f t="shared" si="9"/>
        <v>122560.21843999998</v>
      </c>
      <c r="AR16" s="377">
        <f t="shared" si="18"/>
        <v>3899.6433139999995</v>
      </c>
      <c r="AS16" s="373">
        <f>$H$16-$L$16-AR16</f>
        <v>7166.2891949360001</v>
      </c>
      <c r="AT16" s="373">
        <f t="shared" si="10"/>
        <v>133702.05647999997</v>
      </c>
      <c r="AU16" s="377">
        <f t="shared" si="22"/>
        <v>3899.6433139999995</v>
      </c>
      <c r="AV16" s="373">
        <f>$H$16-$L$16-AU16</f>
        <v>7166.2891949360001</v>
      </c>
      <c r="AW16" s="371"/>
    </row>
    <row r="17" spans="1:49" s="233" customFormat="1" ht="30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23"/>
        <v>24980.1</v>
      </c>
      <c r="G17" s="233">
        <v>359</v>
      </c>
      <c r="H17" s="353">
        <f t="shared" si="20"/>
        <v>9283.3185999999987</v>
      </c>
      <c r="I17" s="363">
        <v>0.25</v>
      </c>
      <c r="J17" s="362">
        <v>6804</v>
      </c>
      <c r="K17" s="361">
        <f t="shared" si="11"/>
        <v>6804.684453906666</v>
      </c>
      <c r="L17" s="372">
        <f t="shared" si="12"/>
        <v>63.639302759999993</v>
      </c>
      <c r="M17" s="373">
        <f t="shared" si="13"/>
        <v>9283.3185999999987</v>
      </c>
      <c r="N17" s="378">
        <f>M17*0.15</f>
        <v>1392.4977899999997</v>
      </c>
      <c r="O17" s="373">
        <f>$H$17-$L$17-N17</f>
        <v>7827.1815072399986</v>
      </c>
      <c r="P17" s="373">
        <f t="shared" si="14"/>
        <v>18566.637199999997</v>
      </c>
      <c r="Q17" s="374">
        <f>(P17-10000)*0.2+(10000-M17)*0.15</f>
        <v>1820.8296499999997</v>
      </c>
      <c r="R17" s="373">
        <f>$H$17-$L$17-Q17</f>
        <v>7398.8496472399984</v>
      </c>
      <c r="S17" s="373">
        <f t="shared" si="0"/>
        <v>27849.955799999996</v>
      </c>
      <c r="T17" s="376">
        <f>(S17-25000)*0.27+(25000-P17)*0.2</f>
        <v>2056.1606259999999</v>
      </c>
      <c r="U17" s="373">
        <f>$H$17-$L$17-T17</f>
        <v>7163.5186712399982</v>
      </c>
      <c r="V17" s="373">
        <f t="shared" si="1"/>
        <v>37133.274399999995</v>
      </c>
      <c r="W17" s="376">
        <f t="shared" si="2"/>
        <v>2506.4960219999998</v>
      </c>
      <c r="X17" s="373">
        <f>$H$17-$L$17-W17</f>
        <v>6713.1832752399987</v>
      </c>
      <c r="Y17" s="373">
        <f t="shared" si="3"/>
        <v>46416.592999999993</v>
      </c>
      <c r="Z17" s="376">
        <f t="shared" si="15"/>
        <v>2506.4960219999998</v>
      </c>
      <c r="AA17" s="373">
        <f>$H$17-$L$17-Z17</f>
        <v>6713.1832752399987</v>
      </c>
      <c r="AB17" s="373">
        <f t="shared" si="4"/>
        <v>55699.911599999992</v>
      </c>
      <c r="AC17" s="376">
        <f t="shared" si="26"/>
        <v>2506.4960219999998</v>
      </c>
      <c r="AD17" s="373">
        <f>$H$17-$L$17-AC17</f>
        <v>6713.1832752399987</v>
      </c>
      <c r="AE17" s="373">
        <f t="shared" si="5"/>
        <v>64983.230199999991</v>
      </c>
      <c r="AF17" s="376">
        <f>H17*0.27</f>
        <v>2506.4960219999998</v>
      </c>
      <c r="AG17" s="373">
        <f>$H$17-$L$17-AF17</f>
        <v>6713.1832752399987</v>
      </c>
      <c r="AH17" s="373">
        <f t="shared" si="6"/>
        <v>74266.54879999999</v>
      </c>
      <c r="AI17" s="376">
        <f>H17*0.27</f>
        <v>2506.4960219999998</v>
      </c>
      <c r="AJ17" s="373">
        <f>$H$17-$L$17-AI17</f>
        <v>6713.1832752399987</v>
      </c>
      <c r="AK17" s="373">
        <f t="shared" si="7"/>
        <v>83549.867399999988</v>
      </c>
      <c r="AL17" s="376">
        <f>H17*0.27</f>
        <v>2506.4960219999998</v>
      </c>
      <c r="AM17" s="373">
        <f>$H$17-$L$17-AL17</f>
        <v>6713.1832752399987</v>
      </c>
      <c r="AN17" s="373">
        <f t="shared" si="8"/>
        <v>92833.185999999987</v>
      </c>
      <c r="AO17" s="377">
        <f>(AN17-88000)*0.35+(88000-AK17)*0.27</f>
        <v>2893.1509019999985</v>
      </c>
      <c r="AP17" s="373">
        <f>$H$17-$L$17-AO17</f>
        <v>6326.5283952399996</v>
      </c>
      <c r="AQ17" s="373">
        <f t="shared" si="9"/>
        <v>102116.50459999999</v>
      </c>
      <c r="AR17" s="377">
        <f t="shared" si="18"/>
        <v>3249.1615099999995</v>
      </c>
      <c r="AS17" s="373">
        <f>$H$17-$L$17-AR17</f>
        <v>5970.5177872399981</v>
      </c>
      <c r="AT17" s="373">
        <f t="shared" si="10"/>
        <v>111399.82319999998</v>
      </c>
      <c r="AU17" s="377">
        <f t="shared" si="22"/>
        <v>3249.1615099999995</v>
      </c>
      <c r="AV17" s="373">
        <f>$H$17-$L$17-AU17</f>
        <v>5970.5177872399981</v>
      </c>
      <c r="AW17" s="371"/>
    </row>
    <row r="18" spans="1:49" s="233" customFormat="1" ht="30" customHeight="1" x14ac:dyDescent="0.45">
      <c r="A18" s="730"/>
      <c r="B18" s="387" t="s">
        <v>32</v>
      </c>
      <c r="C18" s="231">
        <v>450</v>
      </c>
      <c r="D18" s="234">
        <v>4996.0199999999995</v>
      </c>
      <c r="E18" s="234">
        <v>14988.06</v>
      </c>
      <c r="F18" s="234">
        <f t="shared" si="23"/>
        <v>19984.079999999998</v>
      </c>
      <c r="G18" s="233">
        <v>359</v>
      </c>
      <c r="H18" s="353">
        <f t="shared" si="20"/>
        <v>13557.913312000001</v>
      </c>
      <c r="I18" s="363">
        <v>0.64</v>
      </c>
      <c r="J18" s="362">
        <v>9500</v>
      </c>
      <c r="K18" s="361">
        <f t="shared" si="11"/>
        <v>9554.9586916074695</v>
      </c>
      <c r="L18" s="372">
        <f t="shared" si="12"/>
        <v>91.851627859200008</v>
      </c>
      <c r="M18" s="373">
        <f t="shared" si="13"/>
        <v>13557.913312000001</v>
      </c>
      <c r="N18" s="374">
        <f t="shared" si="24"/>
        <v>2211.5826624000001</v>
      </c>
      <c r="O18" s="373">
        <f>$H$18-$L$18-N18</f>
        <v>11254.479021740801</v>
      </c>
      <c r="P18" s="373">
        <f t="shared" si="14"/>
        <v>27115.826624000001</v>
      </c>
      <c r="Q18" s="376">
        <f>(P18-25000)*0.27+(25000-M18)*0.2</f>
        <v>2859.6905260800004</v>
      </c>
      <c r="R18" s="373">
        <f>$H$18-$L$18-Q18</f>
        <v>10606.3711580608</v>
      </c>
      <c r="S18" s="373">
        <f t="shared" si="0"/>
        <v>40673.739935999998</v>
      </c>
      <c r="T18" s="376">
        <f>H18*0.27</f>
        <v>3660.6365942400002</v>
      </c>
      <c r="U18" s="373">
        <f>$H$18-$L$18-T18</f>
        <v>9805.4250899008002</v>
      </c>
      <c r="V18" s="373">
        <f t="shared" si="1"/>
        <v>54231.653248000002</v>
      </c>
      <c r="W18" s="376">
        <f t="shared" si="2"/>
        <v>3660.6365942400002</v>
      </c>
      <c r="X18" s="373">
        <f>$H$18-$L$18-W18</f>
        <v>9805.4250899008002</v>
      </c>
      <c r="Y18" s="373">
        <f t="shared" si="3"/>
        <v>67789.566560000007</v>
      </c>
      <c r="Z18" s="376">
        <f t="shared" si="15"/>
        <v>3660.6365942400002</v>
      </c>
      <c r="AA18" s="373">
        <f>$H$18-$L$18-Z18</f>
        <v>9805.4250899008002</v>
      </c>
      <c r="AB18" s="373">
        <f t="shared" si="4"/>
        <v>81347.479871999996</v>
      </c>
      <c r="AC18" s="376">
        <f t="shared" si="26"/>
        <v>3660.6365942400002</v>
      </c>
      <c r="AD18" s="373">
        <f>$H$18-$L$18-AC18</f>
        <v>9805.4250899008002</v>
      </c>
      <c r="AE18" s="373">
        <f t="shared" si="5"/>
        <v>94905.393184</v>
      </c>
      <c r="AF18" s="377">
        <f>(AE18-88000)*0.35+(88000-AB18)*0.27</f>
        <v>4213.0680489600018</v>
      </c>
      <c r="AG18" s="373">
        <f>$H$18-$L$18-AF18</f>
        <v>9252.9936351807992</v>
      </c>
      <c r="AH18" s="373">
        <f t="shared" si="6"/>
        <v>108463.306496</v>
      </c>
      <c r="AI18" s="377">
        <f>H18*0.35</f>
        <v>4745.2696592000002</v>
      </c>
      <c r="AJ18" s="373">
        <f>$H$18-$L$18-AI18</f>
        <v>8720.7920249408016</v>
      </c>
      <c r="AK18" s="373">
        <f t="shared" si="7"/>
        <v>122021.21980800001</v>
      </c>
      <c r="AL18" s="377">
        <f>H18*0.35</f>
        <v>4745.2696592000002</v>
      </c>
      <c r="AM18" s="373">
        <f>$H$18-$L$18-AL18</f>
        <v>8720.7920249408016</v>
      </c>
      <c r="AN18" s="373">
        <f t="shared" si="8"/>
        <v>135579.13312000001</v>
      </c>
      <c r="AO18" s="377">
        <f>H18*0.35</f>
        <v>4745.2696592000002</v>
      </c>
      <c r="AP18" s="373">
        <f>$H$18-$L$18-AO18</f>
        <v>8720.7920249408016</v>
      </c>
      <c r="AQ18" s="373">
        <f t="shared" si="9"/>
        <v>149137.046432</v>
      </c>
      <c r="AR18" s="377">
        <f t="shared" si="18"/>
        <v>4745.2696592000002</v>
      </c>
      <c r="AS18" s="373">
        <f>$H$18-$L$18-AR18</f>
        <v>8720.7920249408016</v>
      </c>
      <c r="AT18" s="373">
        <f t="shared" si="10"/>
        <v>162694.95974399999</v>
      </c>
      <c r="AU18" s="377">
        <f t="shared" si="22"/>
        <v>4745.2696592000002</v>
      </c>
      <c r="AV18" s="373">
        <f>$H$18-$L$18-AU18</f>
        <v>8720.7920249408016</v>
      </c>
      <c r="AW18" s="371"/>
    </row>
    <row r="19" spans="1:49" s="233" customFormat="1" ht="30" customHeight="1" x14ac:dyDescent="0.45">
      <c r="A19" s="730"/>
      <c r="B19" s="387" t="s">
        <v>237</v>
      </c>
      <c r="C19" s="231">
        <v>450</v>
      </c>
      <c r="D19" s="234">
        <v>4996.0199999999995</v>
      </c>
      <c r="E19" s="234">
        <v>14988.06</v>
      </c>
      <c r="F19" s="234">
        <f t="shared" si="23"/>
        <v>19984.079999999998</v>
      </c>
      <c r="G19" s="233">
        <v>359</v>
      </c>
      <c r="H19" s="353">
        <f t="shared" si="20"/>
        <v>11745.856857999999</v>
      </c>
      <c r="I19" s="363">
        <v>0.51</v>
      </c>
      <c r="J19" s="362">
        <v>8300</v>
      </c>
      <c r="K19" s="361">
        <f t="shared" si="11"/>
        <v>8389.0815691038661</v>
      </c>
      <c r="L19" s="372">
        <f t="shared" si="12"/>
        <v>79.8920552628</v>
      </c>
      <c r="M19" s="373">
        <f t="shared" si="13"/>
        <v>11745.856857999999</v>
      </c>
      <c r="N19" s="374">
        <f t="shared" si="24"/>
        <v>1849.1713715999999</v>
      </c>
      <c r="O19" s="373">
        <f>$H$19-$L$19-N19</f>
        <v>9816.7934311371991</v>
      </c>
      <c r="P19" s="373">
        <f t="shared" si="14"/>
        <v>23491.713715999998</v>
      </c>
      <c r="Q19" s="374">
        <f>H19*0.2</f>
        <v>2349.1713715999999</v>
      </c>
      <c r="R19" s="373">
        <f>$H$19-$L$19-Q19</f>
        <v>9316.7934311371991</v>
      </c>
      <c r="S19" s="373">
        <f t="shared" si="0"/>
        <v>35237.570573999998</v>
      </c>
      <c r="T19" s="376">
        <f>(S19-25000)*0.27+(25000-P19)*0.2</f>
        <v>3065.8013117799997</v>
      </c>
      <c r="U19" s="373">
        <f>$H$19-$L$19-T19</f>
        <v>8600.1634909571985</v>
      </c>
      <c r="V19" s="373">
        <f t="shared" si="1"/>
        <v>46983.427431999997</v>
      </c>
      <c r="W19" s="376">
        <f t="shared" si="2"/>
        <v>3171.3813516599998</v>
      </c>
      <c r="X19" s="373">
        <f>$H$19-$L$19-W19</f>
        <v>8494.5834510771983</v>
      </c>
      <c r="Y19" s="373">
        <f t="shared" si="3"/>
        <v>58729.284289999996</v>
      </c>
      <c r="Z19" s="376">
        <f t="shared" si="15"/>
        <v>3171.3813516599998</v>
      </c>
      <c r="AA19" s="373">
        <f>$H$19-$L$19-Z19</f>
        <v>8494.5834510771983</v>
      </c>
      <c r="AB19" s="373">
        <f t="shared" si="4"/>
        <v>70475.141147999995</v>
      </c>
      <c r="AC19" s="376">
        <f t="shared" si="26"/>
        <v>3171.3813516599998</v>
      </c>
      <c r="AD19" s="373">
        <f>$H$19-$L$19-AC19</f>
        <v>8494.5834510771983</v>
      </c>
      <c r="AE19" s="373">
        <f t="shared" si="5"/>
        <v>82220.998005999994</v>
      </c>
      <c r="AF19" s="376">
        <f t="shared" ref="AF19:AF26" si="27">H19*0.27</f>
        <v>3171.3813516599998</v>
      </c>
      <c r="AG19" s="373">
        <f>$H$19-$L$19-AF19</f>
        <v>8494.5834510771983</v>
      </c>
      <c r="AH19" s="373">
        <f t="shared" si="6"/>
        <v>93966.854863999994</v>
      </c>
      <c r="AI19" s="377">
        <f>(AH19-88000)*0.35+(88000-AE19)*0.27</f>
        <v>3648.7297407799992</v>
      </c>
      <c r="AJ19" s="373">
        <f>$H$19-$L$19-AI19</f>
        <v>8017.2350619571989</v>
      </c>
      <c r="AK19" s="373">
        <f t="shared" si="7"/>
        <v>105712.71172199999</v>
      </c>
      <c r="AL19" s="377">
        <f>H19*0.35</f>
        <v>4111.0499002999995</v>
      </c>
      <c r="AM19" s="373">
        <f>$H$19-$L$19-AL19</f>
        <v>7554.9149024371991</v>
      </c>
      <c r="AN19" s="373">
        <f t="shared" si="8"/>
        <v>117458.56857999999</v>
      </c>
      <c r="AO19" s="377">
        <f>H19*0.35</f>
        <v>4111.0499002999995</v>
      </c>
      <c r="AP19" s="373">
        <f>$H$19-$L$19-AO19</f>
        <v>7554.9149024371991</v>
      </c>
      <c r="AQ19" s="373">
        <f t="shared" si="9"/>
        <v>129204.42543799999</v>
      </c>
      <c r="AR19" s="377">
        <f t="shared" si="18"/>
        <v>4111.0499002999995</v>
      </c>
      <c r="AS19" s="373">
        <f>$H$19-$L$19-AR19</f>
        <v>7554.9149024371991</v>
      </c>
      <c r="AT19" s="373">
        <f t="shared" si="10"/>
        <v>140950.28229599999</v>
      </c>
      <c r="AU19" s="377">
        <f t="shared" si="22"/>
        <v>4111.0499002999995</v>
      </c>
      <c r="AV19" s="373">
        <f>$H$19-$L$19-AU19</f>
        <v>7554.9149024371991</v>
      </c>
      <c r="AW19" s="371"/>
    </row>
    <row r="20" spans="1:49" s="233" customFormat="1" ht="30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20"/>
        <v>10119.652348</v>
      </c>
      <c r="I20" s="363">
        <v>0.59</v>
      </c>
      <c r="J20" s="362">
        <v>7300</v>
      </c>
      <c r="K20" s="361">
        <f t="shared" si="11"/>
        <v>7342.7815873698664</v>
      </c>
      <c r="L20" s="372">
        <f t="shared" si="12"/>
        <v>69.159105496799995</v>
      </c>
      <c r="M20" s="373">
        <f t="shared" si="13"/>
        <v>10119.652348</v>
      </c>
      <c r="N20" s="374">
        <f t="shared" si="24"/>
        <v>1523.9304695999999</v>
      </c>
      <c r="O20" s="373">
        <f>$H$20-$L$20-N20</f>
        <v>8526.5627729032003</v>
      </c>
      <c r="P20" s="373">
        <f t="shared" si="14"/>
        <v>20239.304695999999</v>
      </c>
      <c r="Q20" s="374">
        <f>H20*0.2</f>
        <v>2023.9304695999999</v>
      </c>
      <c r="R20" s="373">
        <f>$H$20-$L$20-Q20</f>
        <v>8026.5627729032003</v>
      </c>
      <c r="S20" s="373">
        <f t="shared" si="0"/>
        <v>30358.957043999999</v>
      </c>
      <c r="T20" s="376">
        <f>(S20-25000)*0.27+(25000-P20)*0.2</f>
        <v>2399.0574626799998</v>
      </c>
      <c r="U20" s="373">
        <f>$H$20-$L$20-T20</f>
        <v>7651.4357798232004</v>
      </c>
      <c r="V20" s="373">
        <f t="shared" si="1"/>
        <v>40478.609391999998</v>
      </c>
      <c r="W20" s="376">
        <f t="shared" si="2"/>
        <v>2732.3061339599999</v>
      </c>
      <c r="X20" s="373">
        <f>$H$20-$L$20-W20</f>
        <v>7318.1871085432003</v>
      </c>
      <c r="Y20" s="373">
        <f t="shared" si="3"/>
        <v>50598.261740000002</v>
      </c>
      <c r="Z20" s="376">
        <f t="shared" si="15"/>
        <v>2732.3061339599999</v>
      </c>
      <c r="AA20" s="373">
        <f>$H$20-$L$20-Z20</f>
        <v>7318.1871085432003</v>
      </c>
      <c r="AB20" s="373">
        <f t="shared" si="4"/>
        <v>60717.914087999998</v>
      </c>
      <c r="AC20" s="376">
        <f t="shared" si="26"/>
        <v>2732.3061339599999</v>
      </c>
      <c r="AD20" s="373">
        <f>$H$20-$L$20-AC20</f>
        <v>7318.1871085432003</v>
      </c>
      <c r="AE20" s="373">
        <f t="shared" si="5"/>
        <v>70837.566435999994</v>
      </c>
      <c r="AF20" s="376">
        <f t="shared" si="27"/>
        <v>2732.3061339599999</v>
      </c>
      <c r="AG20" s="373">
        <f>$H$20-$L$20-AF20</f>
        <v>7318.1871085432003</v>
      </c>
      <c r="AH20" s="373">
        <f t="shared" si="6"/>
        <v>80957.218783999997</v>
      </c>
      <c r="AI20" s="376">
        <f t="shared" ref="AI20:AI27" si="28">H20*0.27</f>
        <v>2732.3061339599999</v>
      </c>
      <c r="AJ20" s="373">
        <f>$H$20-$L$20-AI20</f>
        <v>7318.1871085432003</v>
      </c>
      <c r="AK20" s="373">
        <f t="shared" si="7"/>
        <v>91076.871132</v>
      </c>
      <c r="AL20" s="377">
        <f>(AK20-88000)*0.35+(88000-AH20)*0.27</f>
        <v>2978.455824520001</v>
      </c>
      <c r="AM20" s="373">
        <f>$H$20-$L$20-AL20</f>
        <v>7072.0374179831997</v>
      </c>
      <c r="AN20" s="373">
        <f t="shared" si="8"/>
        <v>101196.52348</v>
      </c>
      <c r="AO20" s="377">
        <f>H20*0.35</f>
        <v>3541.8783217999999</v>
      </c>
      <c r="AP20" s="373">
        <f>$H$20-$L$20-AO20</f>
        <v>6508.6149207032004</v>
      </c>
      <c r="AQ20" s="373">
        <f t="shared" si="9"/>
        <v>111316.17582799999</v>
      </c>
      <c r="AR20" s="377">
        <f t="shared" si="18"/>
        <v>3541.8783217999999</v>
      </c>
      <c r="AS20" s="373">
        <f>$H$20-$L$20-AR20</f>
        <v>6508.6149207032004</v>
      </c>
      <c r="AT20" s="373">
        <f t="shared" si="10"/>
        <v>121435.828176</v>
      </c>
      <c r="AU20" s="377">
        <f t="shared" si="22"/>
        <v>3541.8783217999999</v>
      </c>
      <c r="AV20" s="373">
        <f>$H$20-$L$20-AU20</f>
        <v>6508.6149207032004</v>
      </c>
      <c r="AW20" s="371"/>
    </row>
    <row r="21" spans="1:49" s="233" customFormat="1" ht="30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20"/>
        <v>9747.9484599999996</v>
      </c>
      <c r="I21" s="363">
        <v>0.55000000000000004</v>
      </c>
      <c r="J21" s="362">
        <v>7100</v>
      </c>
      <c r="K21" s="361">
        <f t="shared" si="11"/>
        <v>7103.627305830666</v>
      </c>
      <c r="L21" s="372">
        <f t="shared" si="12"/>
        <v>66.705859836000002</v>
      </c>
      <c r="M21" s="373">
        <f t="shared" si="13"/>
        <v>9747.9484599999996</v>
      </c>
      <c r="N21" s="378">
        <f>M21*0.15</f>
        <v>1462.1922689999999</v>
      </c>
      <c r="O21" s="373">
        <f>$H$21-$L$21-N21</f>
        <v>8219.0503311640005</v>
      </c>
      <c r="P21" s="373">
        <f t="shared" si="14"/>
        <v>19495.896919999999</v>
      </c>
      <c r="Q21" s="374">
        <f>(P21-10000)*0.2+(10000-M21)*0.15</f>
        <v>1936.9871150000001</v>
      </c>
      <c r="R21" s="373">
        <f>$H$21-$L$21-Q21</f>
        <v>7744.2554851639998</v>
      </c>
      <c r="S21" s="373">
        <f t="shared" si="0"/>
        <v>29243.845379999999</v>
      </c>
      <c r="T21" s="376">
        <f>(S21-25000)*0.27+(25000-P21)*0.2</f>
        <v>2246.6588686</v>
      </c>
      <c r="U21" s="373">
        <f>$H$21-$L$21-T21</f>
        <v>7434.5837315640001</v>
      </c>
      <c r="V21" s="373">
        <f t="shared" si="1"/>
        <v>38991.793839999998</v>
      </c>
      <c r="W21" s="376">
        <f t="shared" si="2"/>
        <v>2631.9460841999999</v>
      </c>
      <c r="X21" s="373">
        <f>$H$21-$L$21-W21</f>
        <v>7049.2965159639998</v>
      </c>
      <c r="Y21" s="373">
        <f t="shared" si="3"/>
        <v>48739.742299999998</v>
      </c>
      <c r="Z21" s="376">
        <f t="shared" si="15"/>
        <v>2631.9460841999999</v>
      </c>
      <c r="AA21" s="373">
        <f>$H$21-$L$21-Z21</f>
        <v>7049.2965159639998</v>
      </c>
      <c r="AB21" s="373">
        <f t="shared" si="4"/>
        <v>58487.690759999998</v>
      </c>
      <c r="AC21" s="376">
        <f t="shared" si="26"/>
        <v>2631.9460841999999</v>
      </c>
      <c r="AD21" s="373">
        <f>$H$21-$L$21-AC21</f>
        <v>7049.2965159639998</v>
      </c>
      <c r="AE21" s="373">
        <f t="shared" si="5"/>
        <v>68235.639219999997</v>
      </c>
      <c r="AF21" s="376">
        <f t="shared" si="27"/>
        <v>2631.9460841999999</v>
      </c>
      <c r="AG21" s="373">
        <f>$H$21-$L$21-AF21</f>
        <v>7049.2965159639998</v>
      </c>
      <c r="AH21" s="373">
        <f t="shared" si="6"/>
        <v>77983.587679999997</v>
      </c>
      <c r="AI21" s="376">
        <f t="shared" si="28"/>
        <v>2631.9460841999999</v>
      </c>
      <c r="AJ21" s="373">
        <f>$H$21-$L$21-AI21</f>
        <v>7049.2965159639998</v>
      </c>
      <c r="AK21" s="373">
        <f t="shared" si="7"/>
        <v>87731.536139999997</v>
      </c>
      <c r="AL21" s="376">
        <f>H21*0.27</f>
        <v>2631.9460841999999</v>
      </c>
      <c r="AM21" s="373">
        <f>$H$21-$L$21-AL21</f>
        <v>7049.2965159639998</v>
      </c>
      <c r="AN21" s="373">
        <f t="shared" si="8"/>
        <v>97479.484599999996</v>
      </c>
      <c r="AO21" s="377">
        <f>(AN21-88000)*0.35+(88000-AK21)*0.27</f>
        <v>3390.3048521999995</v>
      </c>
      <c r="AP21" s="373">
        <f>$H$21-$L$21-AO21</f>
        <v>6290.9377479640007</v>
      </c>
      <c r="AQ21" s="373">
        <f t="shared" si="9"/>
        <v>107227.43306</v>
      </c>
      <c r="AR21" s="377">
        <f t="shared" si="18"/>
        <v>3411.7819609999997</v>
      </c>
      <c r="AS21" s="373">
        <f>$H$21-$L$21-AR21</f>
        <v>6269.460639164</v>
      </c>
      <c r="AT21" s="373">
        <f t="shared" si="10"/>
        <v>116975.38152</v>
      </c>
      <c r="AU21" s="377">
        <f t="shared" si="22"/>
        <v>3411.7819609999997</v>
      </c>
      <c r="AV21" s="373">
        <f>$H$21-$L$21-AU21</f>
        <v>6269.460639164</v>
      </c>
      <c r="AW21" s="371"/>
    </row>
    <row r="22" spans="1:49" s="233" customFormat="1" ht="30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20"/>
        <v>9469.1705440000005</v>
      </c>
      <c r="I22" s="363">
        <v>0.52</v>
      </c>
      <c r="J22" s="362">
        <v>6900</v>
      </c>
      <c r="K22" s="361">
        <f t="shared" si="11"/>
        <v>6924.2615946762644</v>
      </c>
      <c r="L22" s="372">
        <f t="shared" si="12"/>
        <v>64.865925590399996</v>
      </c>
      <c r="M22" s="373">
        <f t="shared" si="13"/>
        <v>9469.1705440000005</v>
      </c>
      <c r="N22" s="378">
        <f>M22*0.15</f>
        <v>1420.3755816</v>
      </c>
      <c r="O22" s="373">
        <f>$H$22-$L$22-N22</f>
        <v>7983.9290368095999</v>
      </c>
      <c r="P22" s="373">
        <f t="shared" si="14"/>
        <v>18938.341088000001</v>
      </c>
      <c r="Q22" s="374">
        <f>(P22-10000)*0.2+(10000-M22)*0.15</f>
        <v>1867.2926360000004</v>
      </c>
      <c r="R22" s="373">
        <f>$H$22-$L$22-Q22</f>
        <v>7537.0119824096</v>
      </c>
      <c r="S22" s="373">
        <f t="shared" si="0"/>
        <v>28407.511632000002</v>
      </c>
      <c r="T22" s="376">
        <f>(S22-25000)*0.27+(25000-P22)*0.2</f>
        <v>2132.3599230400005</v>
      </c>
      <c r="U22" s="373">
        <f>$H$22-$L$22-T22</f>
        <v>7271.9446953695997</v>
      </c>
      <c r="V22" s="373">
        <f t="shared" si="1"/>
        <v>37876.682176000002</v>
      </c>
      <c r="W22" s="376">
        <f t="shared" si="2"/>
        <v>2556.6760468800003</v>
      </c>
      <c r="X22" s="373">
        <f>$H$22-$L$22-W22</f>
        <v>6847.6285715295999</v>
      </c>
      <c r="Y22" s="373">
        <f t="shared" si="3"/>
        <v>47345.852720000003</v>
      </c>
      <c r="Z22" s="376">
        <f t="shared" si="15"/>
        <v>2556.6760468800003</v>
      </c>
      <c r="AA22" s="373">
        <f>$H$22-$L$22-Z22</f>
        <v>6847.6285715295999</v>
      </c>
      <c r="AB22" s="373">
        <f t="shared" si="4"/>
        <v>56815.023264000003</v>
      </c>
      <c r="AC22" s="376">
        <f t="shared" si="26"/>
        <v>2556.6760468800003</v>
      </c>
      <c r="AD22" s="373">
        <f>$H$22-$L$22-AC22</f>
        <v>6847.6285715295999</v>
      </c>
      <c r="AE22" s="373">
        <f t="shared" si="5"/>
        <v>66284.193808000011</v>
      </c>
      <c r="AF22" s="376">
        <f t="shared" si="27"/>
        <v>2556.6760468800003</v>
      </c>
      <c r="AG22" s="373">
        <f>$H$22-$L$22-AF22</f>
        <v>6847.6285715295999</v>
      </c>
      <c r="AH22" s="373">
        <f t="shared" si="6"/>
        <v>75753.364352000004</v>
      </c>
      <c r="AI22" s="376">
        <f t="shared" si="28"/>
        <v>2556.6760468800003</v>
      </c>
      <c r="AJ22" s="373">
        <f>$H$22-$L$22-AI22</f>
        <v>6847.6285715295999</v>
      </c>
      <c r="AK22" s="373">
        <f t="shared" si="7"/>
        <v>85222.534895999997</v>
      </c>
      <c r="AL22" s="377">
        <f>(AK22-88000)*0.35+(88000-AH22)*0.27</f>
        <v>2334.4788385599982</v>
      </c>
      <c r="AM22" s="373">
        <f>$H$22-$L$22-AL22</f>
        <v>7069.8257798496015</v>
      </c>
      <c r="AN22" s="373">
        <f t="shared" si="8"/>
        <v>94691.705440000005</v>
      </c>
      <c r="AO22" s="377">
        <f>H22*0.35</f>
        <v>3314.2096904</v>
      </c>
      <c r="AP22" s="373">
        <f>$H$22-$L$22-AO22</f>
        <v>6090.0949280096002</v>
      </c>
      <c r="AQ22" s="373">
        <f t="shared" si="9"/>
        <v>104160.87598400001</v>
      </c>
      <c r="AR22" s="377">
        <f t="shared" si="18"/>
        <v>3314.2096904</v>
      </c>
      <c r="AS22" s="373">
        <f>$H$22-$L$22-AR22</f>
        <v>6090.0949280096002</v>
      </c>
      <c r="AT22" s="373">
        <f t="shared" si="10"/>
        <v>113630.04652800001</v>
      </c>
      <c r="AU22" s="377">
        <f t="shared" si="22"/>
        <v>3314.2096904</v>
      </c>
      <c r="AV22" s="373">
        <f>$H$22-$L$22-AU22</f>
        <v>6090.0949280096002</v>
      </c>
      <c r="AW22" s="371"/>
    </row>
    <row r="23" spans="1:49" s="233" customFormat="1" ht="30" customHeight="1" x14ac:dyDescent="0.45">
      <c r="A23" s="730"/>
      <c r="B23" s="387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20"/>
        <v>6495.5394399999996</v>
      </c>
      <c r="I23" s="363">
        <v>0.2</v>
      </c>
      <c r="J23" s="362">
        <v>4900</v>
      </c>
      <c r="K23" s="361">
        <f t="shared" si="11"/>
        <v>4944.0038308959993</v>
      </c>
      <c r="L23" s="372">
        <f t="shared" si="12"/>
        <v>45.239960304</v>
      </c>
      <c r="M23" s="373">
        <f t="shared" si="13"/>
        <v>6495.5394399999996</v>
      </c>
      <c r="N23" s="378">
        <f>M23*0.15</f>
        <v>974.33091599999989</v>
      </c>
      <c r="O23" s="373">
        <f>$H$23-$L$23-N23</f>
        <v>5475.9685636959994</v>
      </c>
      <c r="P23" s="373">
        <f t="shared" si="14"/>
        <v>12991.078879999999</v>
      </c>
      <c r="Q23" s="374">
        <f>(P23-10000)*0.2+(10000-M23)*0.15</f>
        <v>1123.8848599999999</v>
      </c>
      <c r="R23" s="373">
        <f>$H$23-$L$23-Q23</f>
        <v>5326.4146196959991</v>
      </c>
      <c r="S23" s="373">
        <f t="shared" si="0"/>
        <v>19486.618319999998</v>
      </c>
      <c r="T23" s="376">
        <f>H23*0.2</f>
        <v>1299.107888</v>
      </c>
      <c r="U23" s="373">
        <f>$H$23-$L$23-T23</f>
        <v>5151.1915916959988</v>
      </c>
      <c r="V23" s="373">
        <f t="shared" si="1"/>
        <v>25982.157759999998</v>
      </c>
      <c r="W23" s="376">
        <f>(V23-25000)*0.27+(25000-S23)*0.2</f>
        <v>1367.8589311999999</v>
      </c>
      <c r="X23" s="373">
        <f>$H$23-$L$23-W23</f>
        <v>5082.4405484959989</v>
      </c>
      <c r="Y23" s="373">
        <f t="shared" si="3"/>
        <v>32477.697199999999</v>
      </c>
      <c r="Z23" s="376">
        <f t="shared" si="15"/>
        <v>1753.7956488</v>
      </c>
      <c r="AA23" s="373">
        <f>$H$23-$L$23-Z23</f>
        <v>4696.5038308959993</v>
      </c>
      <c r="AB23" s="373">
        <f t="shared" si="4"/>
        <v>38973.236639999996</v>
      </c>
      <c r="AC23" s="376">
        <f t="shared" si="26"/>
        <v>1753.7956488</v>
      </c>
      <c r="AD23" s="373">
        <f>$H$23-$L$23-AC23</f>
        <v>4696.5038308959993</v>
      </c>
      <c r="AE23" s="373">
        <f t="shared" si="5"/>
        <v>45468.776079999996</v>
      </c>
      <c r="AF23" s="376">
        <f t="shared" si="27"/>
        <v>1753.7956488</v>
      </c>
      <c r="AG23" s="373">
        <f>$H$23-$L$23-AF23</f>
        <v>4696.5038308959993</v>
      </c>
      <c r="AH23" s="373">
        <f t="shared" si="6"/>
        <v>51964.315519999996</v>
      </c>
      <c r="AI23" s="376">
        <f t="shared" si="28"/>
        <v>1753.7956488</v>
      </c>
      <c r="AJ23" s="373">
        <f>$H$23-$L$23-AI23</f>
        <v>4696.5038308959993</v>
      </c>
      <c r="AK23" s="373">
        <f t="shared" si="7"/>
        <v>58459.854959999997</v>
      </c>
      <c r="AL23" s="376">
        <f>H23*0.27</f>
        <v>1753.7956488</v>
      </c>
      <c r="AM23" s="373">
        <f>$H$23-$L$23-AL23</f>
        <v>4696.5038308959993</v>
      </c>
      <c r="AN23" s="373">
        <f t="shared" si="8"/>
        <v>64955.394399999997</v>
      </c>
      <c r="AO23" s="376">
        <f>H23*0.27</f>
        <v>1753.7956488</v>
      </c>
      <c r="AP23" s="373">
        <f>$H$23-$L$23-AO23</f>
        <v>4696.5038308959993</v>
      </c>
      <c r="AQ23" s="373">
        <f t="shared" si="9"/>
        <v>71450.933839999998</v>
      </c>
      <c r="AR23" s="376">
        <f>H23*0.27</f>
        <v>1753.7956488</v>
      </c>
      <c r="AS23" s="373">
        <f>$H$23-$L$23-AR23</f>
        <v>4696.5038308959993</v>
      </c>
      <c r="AT23" s="373">
        <f t="shared" si="10"/>
        <v>77946.473279999991</v>
      </c>
      <c r="AU23" s="376">
        <f t="shared" ref="AU23:AU28" si="29">H23*0.27</f>
        <v>1753.7956488</v>
      </c>
      <c r="AV23" s="373">
        <f>$H$23-$L$23-AU23</f>
        <v>4696.5038308959993</v>
      </c>
      <c r="AW23" s="371"/>
    </row>
    <row r="24" spans="1:49" s="233" customFormat="1" ht="30" customHeight="1" x14ac:dyDescent="0.45">
      <c r="A24" s="731" t="s">
        <v>172</v>
      </c>
      <c r="B24" s="348" t="s">
        <v>282</v>
      </c>
      <c r="C24" s="317">
        <v>125</v>
      </c>
      <c r="D24" s="238">
        <v>3330.68</v>
      </c>
      <c r="E24" s="238">
        <v>4163.3499999999995</v>
      </c>
      <c r="F24" s="238">
        <f t="shared" ref="F24:F27" si="30">D24+E24</f>
        <v>7494.0299999999988</v>
      </c>
      <c r="G24" s="233">
        <v>359</v>
      </c>
      <c r="H24" s="353">
        <f t="shared" si="20"/>
        <v>6649.9997249999997</v>
      </c>
      <c r="I24" s="363">
        <v>0.95</v>
      </c>
      <c r="J24" s="362">
        <v>5000</v>
      </c>
      <c r="K24" s="361">
        <f t="shared" si="11"/>
        <v>5055.7404010649998</v>
      </c>
      <c r="L24" s="372">
        <f t="shared" si="12"/>
        <v>46.259398184999995</v>
      </c>
      <c r="M24" s="373">
        <f t="shared" si="13"/>
        <v>6649.9997249999997</v>
      </c>
      <c r="N24" s="378">
        <f t="shared" ref="N24:N28" si="31">M24*0.15</f>
        <v>997.49995874999991</v>
      </c>
      <c r="O24" s="373">
        <f>$H$24-$L$24-N24</f>
        <v>5606.2403680650004</v>
      </c>
      <c r="P24" s="373">
        <f t="shared" si="14"/>
        <v>13299.999449999999</v>
      </c>
      <c r="Q24" s="374">
        <f>(P24-10000)*0.2+(10000-M24)*0.15</f>
        <v>1162.4999312499999</v>
      </c>
      <c r="R24" s="373">
        <f>$H$24-$L$24-Q24</f>
        <v>5441.2403955650007</v>
      </c>
      <c r="S24" s="373">
        <f t="shared" si="0"/>
        <v>19949.999174999997</v>
      </c>
      <c r="T24" s="374">
        <f>H24*0.2</f>
        <v>1329.999945</v>
      </c>
      <c r="U24" s="373">
        <f>$H$24-$L$24-T24</f>
        <v>5273.7403818149996</v>
      </c>
      <c r="V24" s="373">
        <f t="shared" si="1"/>
        <v>26599.998899999999</v>
      </c>
      <c r="W24" s="376">
        <f>(V24-25000)*0.27+(25000-S24)*0.2</f>
        <v>1441.9998680000003</v>
      </c>
      <c r="X24" s="373">
        <f>$H$24-$L$24-W24</f>
        <v>5161.7404588150002</v>
      </c>
      <c r="Y24" s="373">
        <f t="shared" si="3"/>
        <v>33249.998625</v>
      </c>
      <c r="Z24" s="376">
        <f t="shared" si="15"/>
        <v>1795.4999257500001</v>
      </c>
      <c r="AA24" s="373">
        <f>$H$24-$L$24-Z24</f>
        <v>4808.2404010649998</v>
      </c>
      <c r="AB24" s="373">
        <f t="shared" si="4"/>
        <v>39899.998349999994</v>
      </c>
      <c r="AC24" s="376">
        <f t="shared" si="26"/>
        <v>1795.4999257500001</v>
      </c>
      <c r="AD24" s="373">
        <f>$H$24-$L$24-AC24</f>
        <v>4808.2404010649998</v>
      </c>
      <c r="AE24" s="373">
        <f t="shared" si="5"/>
        <v>46549.998074999996</v>
      </c>
      <c r="AF24" s="376">
        <f t="shared" si="27"/>
        <v>1795.4999257500001</v>
      </c>
      <c r="AG24" s="373">
        <f>$H$24-$L$24-AF24</f>
        <v>4808.2404010649998</v>
      </c>
      <c r="AH24" s="373">
        <f t="shared" si="6"/>
        <v>53199.997799999997</v>
      </c>
      <c r="AI24" s="376">
        <f t="shared" si="28"/>
        <v>1795.4999257500001</v>
      </c>
      <c r="AJ24" s="373">
        <f>$H$24-$L$24-AI24</f>
        <v>4808.2404010649998</v>
      </c>
      <c r="AK24" s="373">
        <f t="shared" si="7"/>
        <v>59849.997524999999</v>
      </c>
      <c r="AL24" s="376">
        <f>H24*0.27</f>
        <v>1795.4999257500001</v>
      </c>
      <c r="AM24" s="373">
        <f>$H$24-$L$24-AL24</f>
        <v>4808.2404010649998</v>
      </c>
      <c r="AN24" s="373">
        <f t="shared" si="8"/>
        <v>66499.99725</v>
      </c>
      <c r="AO24" s="376">
        <f>H24*0.27</f>
        <v>1795.4999257500001</v>
      </c>
      <c r="AP24" s="373">
        <f>$H$24-$L$24-AO24</f>
        <v>4808.2404010649998</v>
      </c>
      <c r="AQ24" s="373">
        <f t="shared" si="9"/>
        <v>73149.996975000002</v>
      </c>
      <c r="AR24" s="376">
        <f>H24*0.27</f>
        <v>1795.4999257500001</v>
      </c>
      <c r="AS24" s="373">
        <f>$H$24-$L$24-AR24</f>
        <v>4808.2404010649998</v>
      </c>
      <c r="AT24" s="373">
        <f t="shared" si="10"/>
        <v>79799.996699999989</v>
      </c>
      <c r="AU24" s="376">
        <f t="shared" si="29"/>
        <v>1795.4999257500001</v>
      </c>
      <c r="AV24" s="373">
        <f>$H$24-$L$24-AU24</f>
        <v>4808.2404010649998</v>
      </c>
      <c r="AW24" s="371"/>
    </row>
    <row r="25" spans="1:49" s="233" customFormat="1" ht="30" customHeight="1" x14ac:dyDescent="0.45">
      <c r="A25" s="732"/>
      <c r="B25" s="348" t="s">
        <v>281</v>
      </c>
      <c r="C25" s="317">
        <v>125</v>
      </c>
      <c r="D25" s="238">
        <v>3330.68</v>
      </c>
      <c r="E25" s="238">
        <v>4163.3499999999995</v>
      </c>
      <c r="F25" s="238">
        <f t="shared" si="30"/>
        <v>7494.0299999999988</v>
      </c>
      <c r="G25" s="233">
        <v>359</v>
      </c>
      <c r="H25" s="353">
        <f t="shared" si="20"/>
        <v>5798.1783149999992</v>
      </c>
      <c r="I25" s="363">
        <v>0.73</v>
      </c>
      <c r="J25" s="362">
        <v>4500</v>
      </c>
      <c r="K25" s="361">
        <f>((O25+R25+U25+X25+AA25+AD25+AG25+AJ25+AM25+AP25+AS25+AV25)/12)+60</f>
        <v>4523.0369855829986</v>
      </c>
      <c r="L25" s="372">
        <f t="shared" si="12"/>
        <v>40.637376878999994</v>
      </c>
      <c r="M25" s="373">
        <f t="shared" si="13"/>
        <v>5798.1783149999992</v>
      </c>
      <c r="N25" s="378">
        <f t="shared" si="31"/>
        <v>869.7267472499999</v>
      </c>
      <c r="O25" s="373">
        <f>$H$24-$L$24-N25</f>
        <v>5734.0135795650003</v>
      </c>
      <c r="P25" s="373">
        <f t="shared" si="14"/>
        <v>11596.356629999998</v>
      </c>
      <c r="Q25" s="374">
        <f>(P25-10000)*0.2+(10000-M25)*0.15</f>
        <v>949.5445787499998</v>
      </c>
      <c r="R25" s="373">
        <f>H25-L25-Q25</f>
        <v>4807.9963593709999</v>
      </c>
      <c r="S25" s="373">
        <f t="shared" si="0"/>
        <v>17394.534944999999</v>
      </c>
      <c r="T25" s="374">
        <f>H25*0.2</f>
        <v>1159.6356629999998</v>
      </c>
      <c r="U25" s="373">
        <f>H25-L25-T25</f>
        <v>4597.9052751209992</v>
      </c>
      <c r="V25" s="373">
        <f t="shared" si="1"/>
        <v>23192.713259999997</v>
      </c>
      <c r="W25" s="374">
        <f>H25*0.2</f>
        <v>1159.6356629999998</v>
      </c>
      <c r="X25" s="373">
        <f>H25-L25-W25</f>
        <v>4597.9052751209992</v>
      </c>
      <c r="Y25" s="373">
        <f t="shared" si="3"/>
        <v>28990.891574999994</v>
      </c>
      <c r="Z25" s="376">
        <f>(Y25-25000)*0.27+(25000-V25)*0.2</f>
        <v>1438.9980732499992</v>
      </c>
      <c r="AA25" s="373">
        <f>H25-L25-Z25</f>
        <v>4318.5428648710003</v>
      </c>
      <c r="AB25" s="373">
        <f t="shared" si="4"/>
        <v>34789.069889999999</v>
      </c>
      <c r="AC25" s="376">
        <f t="shared" si="26"/>
        <v>1565.5081450499999</v>
      </c>
      <c r="AD25" s="373">
        <f>H25-L25-AC25</f>
        <v>4192.0327930709991</v>
      </c>
      <c r="AE25" s="373">
        <f t="shared" si="5"/>
        <v>40587.248204999996</v>
      </c>
      <c r="AF25" s="376">
        <f t="shared" si="27"/>
        <v>1565.5081450499999</v>
      </c>
      <c r="AG25" s="373">
        <f>H25-L25-AF25</f>
        <v>4192.0327930709991</v>
      </c>
      <c r="AH25" s="373">
        <f t="shared" si="6"/>
        <v>46385.426519999994</v>
      </c>
      <c r="AI25" s="376">
        <f t="shared" si="28"/>
        <v>1565.5081450499999</v>
      </c>
      <c r="AJ25" s="373">
        <f>H25-L25-AI25</f>
        <v>4192.0327930709991</v>
      </c>
      <c r="AK25" s="373">
        <f t="shared" si="7"/>
        <v>52183.604834999991</v>
      </c>
      <c r="AL25" s="376">
        <f>H25*0.27</f>
        <v>1565.5081450499999</v>
      </c>
      <c r="AM25" s="373">
        <f>H25-L25-AL25</f>
        <v>4192.0327930709991</v>
      </c>
      <c r="AN25" s="373">
        <f t="shared" si="8"/>
        <v>57981.783149999988</v>
      </c>
      <c r="AO25" s="376">
        <f>H25*0.27</f>
        <v>1565.5081450499999</v>
      </c>
      <c r="AP25" s="373">
        <f>H25-L25-$AO$26</f>
        <v>4347.8837145209991</v>
      </c>
      <c r="AQ25" s="373">
        <f t="shared" si="9"/>
        <v>63779.961464999993</v>
      </c>
      <c r="AR25" s="376">
        <f>H25*0.27</f>
        <v>1565.5081450499999</v>
      </c>
      <c r="AS25" s="373">
        <f>H25-L25-AR25</f>
        <v>4192.0327930709991</v>
      </c>
      <c r="AT25" s="373">
        <f t="shared" si="10"/>
        <v>69578.139779999998</v>
      </c>
      <c r="AU25" s="376">
        <f t="shared" si="29"/>
        <v>1565.5081450499999</v>
      </c>
      <c r="AV25" s="373">
        <f>H25-L25-AU25</f>
        <v>4192.0327930709991</v>
      </c>
      <c r="AW25" s="371"/>
    </row>
    <row r="26" spans="1:49" s="233" customFormat="1" ht="30" customHeight="1" x14ac:dyDescent="0.45">
      <c r="A26" s="732"/>
      <c r="B26" s="386" t="s">
        <v>241</v>
      </c>
      <c r="C26" s="235">
        <v>125</v>
      </c>
      <c r="D26" s="234">
        <v>3330.68</v>
      </c>
      <c r="E26" s="234">
        <v>4163.3499999999995</v>
      </c>
      <c r="F26" s="234">
        <f t="shared" si="30"/>
        <v>7494.0299999999988</v>
      </c>
      <c r="G26" s="233">
        <v>278</v>
      </c>
      <c r="H26" s="353">
        <f>D26+E26*$H$5*$I26-G26</f>
        <v>5220.9526800000003</v>
      </c>
      <c r="I26" s="363">
        <v>0.56000000000000005</v>
      </c>
      <c r="J26" s="362">
        <v>4000</v>
      </c>
      <c r="K26" s="361">
        <f t="shared" si="11"/>
        <v>4022.5023687119997</v>
      </c>
      <c r="L26" s="372">
        <f t="shared" si="12"/>
        <v>36.293087688</v>
      </c>
      <c r="M26" s="373">
        <f t="shared" si="13"/>
        <v>5220.9526800000003</v>
      </c>
      <c r="N26" s="378">
        <f t="shared" si="31"/>
        <v>783.14290200000005</v>
      </c>
      <c r="O26" s="373">
        <f>H26-L26-N26</f>
        <v>4401.5166903120007</v>
      </c>
      <c r="P26" s="373">
        <f t="shared" si="14"/>
        <v>10441.905360000001</v>
      </c>
      <c r="Q26" s="374">
        <f t="shared" ref="Q26" si="32">(P26-10000)*0.2+(10000-M26)*0.15</f>
        <v>805.23817000000008</v>
      </c>
      <c r="R26" s="373">
        <f>H26-L26-Q26</f>
        <v>4379.4214223119998</v>
      </c>
      <c r="S26" s="373">
        <f t="shared" si="0"/>
        <v>15662.858040000001</v>
      </c>
      <c r="T26" s="374">
        <f>H26*0.2</f>
        <v>1044.1905360000001</v>
      </c>
      <c r="U26" s="373">
        <f>H26-L26-T26</f>
        <v>4140.4690563120002</v>
      </c>
      <c r="V26" s="373">
        <f t="shared" si="1"/>
        <v>20883.810720000001</v>
      </c>
      <c r="W26" s="374">
        <f>H26*0.2</f>
        <v>1044.1905360000001</v>
      </c>
      <c r="X26" s="373">
        <f>H26-L26-W26</f>
        <v>4140.4690563120002</v>
      </c>
      <c r="Y26" s="373">
        <f t="shared" si="3"/>
        <v>26104.763400000003</v>
      </c>
      <c r="Z26" s="376">
        <f>(Y26-25000)*0.27+(25000-V26)*0.2</f>
        <v>1121.5239740000006</v>
      </c>
      <c r="AA26" s="373">
        <f>H26-L26-Z26</f>
        <v>4063.1356183119997</v>
      </c>
      <c r="AB26" s="373">
        <f t="shared" si="4"/>
        <v>31325.716080000002</v>
      </c>
      <c r="AC26" s="376">
        <f t="shared" si="26"/>
        <v>1409.6572236000002</v>
      </c>
      <c r="AD26" s="373">
        <f>H26-L26-AC26</f>
        <v>3775.0023687120001</v>
      </c>
      <c r="AE26" s="373">
        <f t="shared" si="5"/>
        <v>36546.66876</v>
      </c>
      <c r="AF26" s="376">
        <f t="shared" si="27"/>
        <v>1409.6572236000002</v>
      </c>
      <c r="AG26" s="373">
        <f>H26-L26-AF26</f>
        <v>3775.0023687120001</v>
      </c>
      <c r="AH26" s="373">
        <f t="shared" si="6"/>
        <v>41767.621440000003</v>
      </c>
      <c r="AI26" s="376">
        <f t="shared" si="28"/>
        <v>1409.6572236000002</v>
      </c>
      <c r="AJ26" s="373">
        <f>H26-L26-AI26</f>
        <v>3775.0023687120001</v>
      </c>
      <c r="AK26" s="373">
        <f t="shared" si="7"/>
        <v>46988.574120000005</v>
      </c>
      <c r="AL26" s="376">
        <f>H26*0.27</f>
        <v>1409.6572236000002</v>
      </c>
      <c r="AM26" s="373">
        <f>H26-L26-AL26</f>
        <v>3775.0023687120001</v>
      </c>
      <c r="AN26" s="373">
        <f t="shared" si="8"/>
        <v>52209.526800000007</v>
      </c>
      <c r="AO26" s="376">
        <f>H26*0.27</f>
        <v>1409.6572236000002</v>
      </c>
      <c r="AP26" s="373">
        <f>H26-L26-$AO$26</f>
        <v>3775.0023687120001</v>
      </c>
      <c r="AQ26" s="373">
        <f t="shared" si="9"/>
        <v>57430.479480000002</v>
      </c>
      <c r="AR26" s="376">
        <f>H26*0.27</f>
        <v>1409.6572236000002</v>
      </c>
      <c r="AS26" s="373">
        <f>H26-L26-AR26</f>
        <v>3775.0023687120001</v>
      </c>
      <c r="AT26" s="373">
        <f t="shared" si="10"/>
        <v>62651.432160000004</v>
      </c>
      <c r="AU26" s="376">
        <f t="shared" si="29"/>
        <v>1409.6572236000002</v>
      </c>
      <c r="AV26" s="373">
        <f>H26-L26-AU26</f>
        <v>3775.0023687120001</v>
      </c>
      <c r="AW26" s="371"/>
    </row>
    <row r="27" spans="1:49" s="233" customFormat="1" ht="30" customHeight="1" x14ac:dyDescent="0.45">
      <c r="A27" s="733"/>
      <c r="B27" s="348" t="s">
        <v>198</v>
      </c>
      <c r="C27" s="317">
        <v>125</v>
      </c>
      <c r="D27" s="238">
        <v>3330.68</v>
      </c>
      <c r="E27" s="238">
        <v>4163.3499999999995</v>
      </c>
      <c r="F27" s="238">
        <f t="shared" si="30"/>
        <v>7494.0299999999988</v>
      </c>
      <c r="G27" s="233">
        <v>278</v>
      </c>
      <c r="H27" s="353">
        <f t="shared" si="20"/>
        <v>3865.7822550000001</v>
      </c>
      <c r="I27" s="363">
        <v>0.21</v>
      </c>
      <c r="J27" s="362">
        <v>3000</v>
      </c>
      <c r="K27" s="361">
        <f t="shared" si="11"/>
        <v>3011.6807487045003</v>
      </c>
      <c r="L27" s="372">
        <f t="shared" si="12"/>
        <v>27.348962882999999</v>
      </c>
      <c r="M27" s="373">
        <f t="shared" si="13"/>
        <v>3865.7822550000001</v>
      </c>
      <c r="N27" s="378">
        <f t="shared" si="31"/>
        <v>579.86733824999999</v>
      </c>
      <c r="O27" s="373">
        <f>H27-L27-N27</f>
        <v>3258.5659538670002</v>
      </c>
      <c r="P27" s="373">
        <f t="shared" si="14"/>
        <v>7731.5645100000002</v>
      </c>
      <c r="Q27" s="378">
        <f>H27*0.15</f>
        <v>579.86733824999999</v>
      </c>
      <c r="R27" s="373">
        <f>H27-L27-Q27</f>
        <v>3258.5659538670002</v>
      </c>
      <c r="S27" s="373">
        <f t="shared" si="0"/>
        <v>11597.346765</v>
      </c>
      <c r="T27" s="374">
        <f>(S27-10000)*0.2+(10000-P27)*0.15</f>
        <v>659.73467649999998</v>
      </c>
      <c r="U27" s="373">
        <f>H27-L27-T27</f>
        <v>3178.6986156170005</v>
      </c>
      <c r="V27" s="373">
        <f t="shared" si="1"/>
        <v>15463.12902</v>
      </c>
      <c r="W27" s="374">
        <f>H27*0.2</f>
        <v>773.15645100000006</v>
      </c>
      <c r="X27" s="373">
        <f>H27-L27-W27</f>
        <v>3065.276841117</v>
      </c>
      <c r="Y27" s="373">
        <f t="shared" si="3"/>
        <v>19328.911274999999</v>
      </c>
      <c r="Z27" s="374">
        <f>H27*0.2</f>
        <v>773.15645100000006</v>
      </c>
      <c r="AA27" s="373">
        <f>H27-L27-Z27</f>
        <v>3065.276841117</v>
      </c>
      <c r="AB27" s="373">
        <f t="shared" si="4"/>
        <v>23194.69353</v>
      </c>
      <c r="AC27" s="374">
        <f>H27*0.2</f>
        <v>773.15645100000006</v>
      </c>
      <c r="AD27" s="373">
        <f>H27-L27-AC27</f>
        <v>3065.276841117</v>
      </c>
      <c r="AE27" s="373">
        <f t="shared" si="5"/>
        <v>27060.475785000002</v>
      </c>
      <c r="AF27" s="376">
        <f>(AE27-25000)*0.27+(25000-AB27)*0.2</f>
        <v>917.38975595000056</v>
      </c>
      <c r="AG27" s="373">
        <f>H27-L27-AF27</f>
        <v>2921.0435361669997</v>
      </c>
      <c r="AH27" s="373">
        <f t="shared" si="6"/>
        <v>30926.258040000001</v>
      </c>
      <c r="AI27" s="376">
        <f t="shared" si="28"/>
        <v>1043.76120885</v>
      </c>
      <c r="AJ27" s="373">
        <f>H27-L27-AI27</f>
        <v>2794.6720832670003</v>
      </c>
      <c r="AK27" s="373">
        <f t="shared" si="7"/>
        <v>34792.040294999999</v>
      </c>
      <c r="AL27" s="376">
        <f>H27*0.27</f>
        <v>1043.76120885</v>
      </c>
      <c r="AM27" s="373">
        <f>H27-L27-AL27</f>
        <v>2794.6720832670003</v>
      </c>
      <c r="AN27" s="373">
        <f t="shared" si="8"/>
        <v>38657.822549999997</v>
      </c>
      <c r="AO27" s="376">
        <f>H27*0.27</f>
        <v>1043.76120885</v>
      </c>
      <c r="AP27" s="373">
        <f>H27-L27-$AO$26</f>
        <v>2428.7760685170001</v>
      </c>
      <c r="AQ27" s="373">
        <f t="shared" si="9"/>
        <v>42523.604805000003</v>
      </c>
      <c r="AR27" s="376">
        <f>H27*0.27</f>
        <v>1043.76120885</v>
      </c>
      <c r="AS27" s="373">
        <f>H27-L27-AR27</f>
        <v>2794.6720832670003</v>
      </c>
      <c r="AT27" s="373">
        <f t="shared" si="10"/>
        <v>46389.387060000001</v>
      </c>
      <c r="AU27" s="376">
        <f t="shared" si="29"/>
        <v>1043.76120885</v>
      </c>
      <c r="AV27" s="373">
        <f>H27-L27-AU27</f>
        <v>2794.6720832670003</v>
      </c>
      <c r="AW27" s="371"/>
    </row>
    <row r="28" spans="1:49" s="233" customFormat="1" ht="28.5" x14ac:dyDescent="0.45">
      <c r="A28" s="725" t="s">
        <v>171</v>
      </c>
      <c r="B28" s="725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20"/>
        <v>2363.0627059999997</v>
      </c>
      <c r="I28" s="363">
        <v>0.63</v>
      </c>
      <c r="J28" s="362">
        <v>1795</v>
      </c>
      <c r="K28" s="361">
        <f t="shared" si="11"/>
        <v>1877.0177046537331</v>
      </c>
      <c r="L28" s="372">
        <f t="shared" si="12"/>
        <v>17.431013859599997</v>
      </c>
      <c r="M28" s="373">
        <f t="shared" si="13"/>
        <v>2363.0627059999997</v>
      </c>
      <c r="N28" s="378">
        <f t="shared" si="31"/>
        <v>354.45940589999992</v>
      </c>
      <c r="O28" s="373">
        <f>H28-L28-N28</f>
        <v>1991.1722862403997</v>
      </c>
      <c r="P28" s="373">
        <f t="shared" si="14"/>
        <v>4726.1254119999994</v>
      </c>
      <c r="Q28" s="378">
        <f>H28*0.15</f>
        <v>354.45940589999992</v>
      </c>
      <c r="R28" s="373">
        <f>H28-L28-Q28</f>
        <v>1991.1722862403997</v>
      </c>
      <c r="S28" s="373">
        <f t="shared" si="0"/>
        <v>7089.1881179999991</v>
      </c>
      <c r="T28" s="378">
        <f>H28*0.15</f>
        <v>354.45940589999992</v>
      </c>
      <c r="U28" s="373">
        <f>H28-L28-T28</f>
        <v>1991.1722862403997</v>
      </c>
      <c r="V28" s="373">
        <f t="shared" si="1"/>
        <v>9452.2508239999988</v>
      </c>
      <c r="W28" s="378">
        <f>H28*0.15</f>
        <v>354.45940589999992</v>
      </c>
      <c r="X28" s="373">
        <f>H28-L28-W28</f>
        <v>1991.1722862403997</v>
      </c>
      <c r="Y28" s="373">
        <f t="shared" si="3"/>
        <v>11815.313529999999</v>
      </c>
      <c r="Z28" s="374">
        <f>(Y28-10000)*0.2+(10000-V28)*0.15</f>
        <v>445.22508240000013</v>
      </c>
      <c r="AA28" s="373">
        <f>H28-L28-Z28</f>
        <v>1900.4066097403993</v>
      </c>
      <c r="AB28" s="373">
        <f t="shared" si="4"/>
        <v>14178.376235999998</v>
      </c>
      <c r="AC28" s="374">
        <f>H28*0.2</f>
        <v>472.61254119999995</v>
      </c>
      <c r="AD28" s="373">
        <f>H28-L28-AC28</f>
        <v>1873.0191509403996</v>
      </c>
      <c r="AE28" s="373">
        <f t="shared" si="5"/>
        <v>16541.438941999997</v>
      </c>
      <c r="AF28" s="374">
        <f>H28*0.2</f>
        <v>472.61254119999995</v>
      </c>
      <c r="AG28" s="373">
        <f>H28-L28-AF28</f>
        <v>1873.0191509403996</v>
      </c>
      <c r="AH28" s="373">
        <f t="shared" si="6"/>
        <v>18904.501647999998</v>
      </c>
      <c r="AI28" s="374">
        <f>H28*0.2</f>
        <v>472.61254119999995</v>
      </c>
      <c r="AJ28" s="373">
        <f>H28-L28-AI28</f>
        <v>1873.0191509403996</v>
      </c>
      <c r="AK28" s="373">
        <f t="shared" si="7"/>
        <v>21267.564353999998</v>
      </c>
      <c r="AL28" s="374">
        <f>H28*0.2</f>
        <v>472.61254119999995</v>
      </c>
      <c r="AM28" s="373">
        <f>H28-L28-AL28</f>
        <v>1873.0191509403996</v>
      </c>
      <c r="AN28" s="373">
        <f t="shared" si="8"/>
        <v>23630.627059999999</v>
      </c>
      <c r="AO28" s="374">
        <f>H28*0.2</f>
        <v>472.61254119999995</v>
      </c>
      <c r="AP28" s="373">
        <f>H28-L28-$AO$26</f>
        <v>935.97446854039936</v>
      </c>
      <c r="AQ28" s="373">
        <f t="shared" si="9"/>
        <v>25993.689765999996</v>
      </c>
      <c r="AR28" s="376">
        <f>(AQ28-25000)*0.27+(25000-AN28)*0.2</f>
        <v>542.1708248199991</v>
      </c>
      <c r="AS28" s="373">
        <f>H28-L28-AR28</f>
        <v>1803.4608673204004</v>
      </c>
      <c r="AT28" s="373">
        <f t="shared" si="10"/>
        <v>28356.752471999996</v>
      </c>
      <c r="AU28" s="376">
        <f t="shared" si="29"/>
        <v>638.02693061999992</v>
      </c>
      <c r="AV28" s="373">
        <f>H28-L28-AU28</f>
        <v>1707.6047615203997</v>
      </c>
      <c r="AW28" s="371"/>
    </row>
    <row r="29" spans="1:49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0.94</v>
      </c>
      <c r="I29" s="363"/>
      <c r="J29" s="233"/>
      <c r="K29" s="361"/>
      <c r="L29" s="372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5"/>
    </row>
    <row r="30" spans="1:49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33">D30+E30</f>
        <v>24980.1</v>
      </c>
      <c r="G30" s="233">
        <v>359</v>
      </c>
      <c r="H30" s="353">
        <f>D30+E30*$H$29*$I30-G30</f>
        <v>16659.442528</v>
      </c>
      <c r="I30" s="363">
        <v>0.64</v>
      </c>
      <c r="J30" s="362">
        <v>11900</v>
      </c>
      <c r="K30" s="361">
        <f t="shared" si="11"/>
        <v>11918.911560948536</v>
      </c>
      <c r="L30" s="372">
        <f t="shared" si="12"/>
        <v>112.3217206848</v>
      </c>
      <c r="M30" s="373">
        <f t="shared" si="13"/>
        <v>16659.442528</v>
      </c>
      <c r="N30" s="374">
        <f t="shared" ref="N30:N42" si="34">(M30-10000)*0.2+10000*0.15</f>
        <v>2831.8885055999999</v>
      </c>
      <c r="O30" s="373">
        <f t="shared" ref="O30:O54" si="35">H30-L30-N30</f>
        <v>13715.232301715201</v>
      </c>
      <c r="P30" s="373">
        <f t="shared" si="14"/>
        <v>33318.885055999999</v>
      </c>
      <c r="Q30" s="376">
        <f>(P30-25000)*0.27+(25000-M30)*0.2</f>
        <v>3914.2104595199999</v>
      </c>
      <c r="R30" s="373">
        <f t="shared" ref="R30:R54" si="36">H30-L30-Q30</f>
        <v>12632.910347795201</v>
      </c>
      <c r="S30" s="373">
        <f t="shared" ref="S30:S54" si="37">H30*3</f>
        <v>49978.327583999999</v>
      </c>
      <c r="T30" s="376">
        <f t="shared" ref="T30:T33" si="38">M30*0.27</f>
        <v>4498.0494825599999</v>
      </c>
      <c r="U30" s="373">
        <f t="shared" ref="U30:U54" si="39">H30-L30-T30</f>
        <v>12049.071324755201</v>
      </c>
      <c r="V30" s="373">
        <f t="shared" ref="V30:V54" si="40">H30*4</f>
        <v>66637.770111999998</v>
      </c>
      <c r="W30" s="376">
        <f t="shared" ref="W30:W37" si="41">H30*0.27</f>
        <v>4498.0494825599999</v>
      </c>
      <c r="X30" s="373">
        <f t="shared" ref="X30:X54" si="42">H30-L30-W30</f>
        <v>12049.071324755201</v>
      </c>
      <c r="Y30" s="373">
        <f t="shared" ref="Y30:Y54" si="43">H30*5</f>
        <v>83297.212639999998</v>
      </c>
      <c r="Z30" s="376">
        <f t="shared" ref="Z30:Z50" si="44">H30*0.27</f>
        <v>4498.0494825599999</v>
      </c>
      <c r="AA30" s="373">
        <f t="shared" ref="AA30:AA54" si="45">H30-L30-Z30</f>
        <v>12049.071324755201</v>
      </c>
      <c r="AB30" s="373">
        <f t="shared" ref="AB30:AB54" si="46">H30*6</f>
        <v>99956.655167999998</v>
      </c>
      <c r="AC30" s="377">
        <f>(AB30-88000)*0.35+(88000-Y30)*0.27</f>
        <v>5454.5818959999997</v>
      </c>
      <c r="AD30" s="373">
        <f t="shared" ref="AD30:AD54" si="47">H30-L30-AC30</f>
        <v>11092.538911315201</v>
      </c>
      <c r="AE30" s="373">
        <f t="shared" ref="AE30:AE54" si="48">H30*7</f>
        <v>116616.097696</v>
      </c>
      <c r="AF30" s="377">
        <f>H30*0.35</f>
        <v>5830.8048847999999</v>
      </c>
      <c r="AG30" s="373">
        <f t="shared" ref="AG30:AG54" si="49">H30-L30-AF30</f>
        <v>10716.315922515201</v>
      </c>
      <c r="AH30" s="373">
        <f t="shared" ref="AH30:AH54" si="50">H30*8</f>
        <v>133275.540224</v>
      </c>
      <c r="AI30" s="377">
        <f>H30*0.35</f>
        <v>5830.8048847999999</v>
      </c>
      <c r="AJ30" s="373">
        <f t="shared" ref="AJ30:AJ54" si="51">H30-L30-AI30</f>
        <v>10716.315922515201</v>
      </c>
      <c r="AK30" s="373">
        <f t="shared" ref="AK30:AK54" si="52">H30*9</f>
        <v>149934.98275199998</v>
      </c>
      <c r="AL30" s="377">
        <f>H30*0.35</f>
        <v>5830.8048847999999</v>
      </c>
      <c r="AM30" s="373">
        <f t="shared" ref="AM30:AM54" si="53">H30-L30-AL30</f>
        <v>10716.315922515201</v>
      </c>
      <c r="AN30" s="373">
        <f t="shared" ref="AN30:AN54" si="54">H30*10</f>
        <v>166594.42528</v>
      </c>
      <c r="AO30" s="377">
        <f>H30*0.35</f>
        <v>5830.8048847999999</v>
      </c>
      <c r="AP30" s="373">
        <f t="shared" ref="AP30:AP35" si="55">H30-L30-$AO$26</f>
        <v>15137.463583715202</v>
      </c>
      <c r="AQ30" s="373">
        <f t="shared" ref="AQ30:AQ54" si="56">H30*11</f>
        <v>183253.86780800001</v>
      </c>
      <c r="AR30" s="377">
        <f t="shared" ref="AR30:AR37" si="57">H30*0.35</f>
        <v>5830.8048847999999</v>
      </c>
      <c r="AS30" s="373">
        <f t="shared" ref="AS30:AS54" si="58">H30-L30-AR30</f>
        <v>10716.315922515201</v>
      </c>
      <c r="AT30" s="373">
        <f t="shared" ref="AT30:AT54" si="59">H30*12</f>
        <v>199913.310336</v>
      </c>
      <c r="AU30" s="377">
        <f t="shared" ref="AU30:AU37" si="60">H30*0.35</f>
        <v>5830.8048847999999</v>
      </c>
      <c r="AV30" s="373">
        <f t="shared" ref="AV30:AV54" si="61">H30-L30-AU30</f>
        <v>10716.315922515201</v>
      </c>
      <c r="AW30" s="292"/>
    </row>
    <row r="31" spans="1:49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33"/>
        <v>24980.1</v>
      </c>
      <c r="G31" s="233">
        <v>359</v>
      </c>
      <c r="H31" s="353">
        <f t="shared" ref="H31:H54" si="62">D31+E31*$H$29*$I31-G31</f>
        <v>10836.081615999999</v>
      </c>
      <c r="I31" s="363">
        <v>0.33</v>
      </c>
      <c r="J31" s="362">
        <v>8000</v>
      </c>
      <c r="K31" s="361">
        <f t="shared" si="11"/>
        <v>8002.3131235677347</v>
      </c>
      <c r="L31" s="372">
        <f t="shared" si="12"/>
        <v>73.88753866559999</v>
      </c>
      <c r="M31" s="373">
        <f t="shared" si="13"/>
        <v>10836.081615999999</v>
      </c>
      <c r="N31" s="374">
        <f t="shared" si="34"/>
        <v>1667.2163231999998</v>
      </c>
      <c r="O31" s="373">
        <f t="shared" si="35"/>
        <v>9094.9777541343992</v>
      </c>
      <c r="P31" s="373">
        <f t="shared" si="14"/>
        <v>21672.163231999999</v>
      </c>
      <c r="Q31" s="374">
        <f>H31*0.2</f>
        <v>2167.2163231999998</v>
      </c>
      <c r="R31" s="373">
        <f t="shared" si="36"/>
        <v>8594.9777541343992</v>
      </c>
      <c r="S31" s="373">
        <f t="shared" si="37"/>
        <v>32508.244847999998</v>
      </c>
      <c r="T31" s="376">
        <f>(S31-25000)*0.27+(25000-P31)*0.2</f>
        <v>2692.7934625600001</v>
      </c>
      <c r="U31" s="373">
        <f t="shared" si="39"/>
        <v>8069.4006147743994</v>
      </c>
      <c r="V31" s="373">
        <f t="shared" si="40"/>
        <v>43344.326463999998</v>
      </c>
      <c r="W31" s="376">
        <f t="shared" si="41"/>
        <v>2925.7420363199999</v>
      </c>
      <c r="X31" s="373">
        <f t="shared" si="42"/>
        <v>7836.4520410143996</v>
      </c>
      <c r="Y31" s="373">
        <f t="shared" si="43"/>
        <v>54180.408079999994</v>
      </c>
      <c r="Z31" s="376">
        <f t="shared" si="44"/>
        <v>2925.7420363199999</v>
      </c>
      <c r="AA31" s="373">
        <f t="shared" si="45"/>
        <v>7836.4520410143996</v>
      </c>
      <c r="AB31" s="373">
        <f t="shared" si="46"/>
        <v>65016.489695999997</v>
      </c>
      <c r="AC31" s="376">
        <f t="shared" ref="AC31:AC38" si="63">H31*0.27</f>
        <v>2925.7420363199999</v>
      </c>
      <c r="AD31" s="373">
        <f t="shared" si="47"/>
        <v>7836.4520410143996</v>
      </c>
      <c r="AE31" s="373">
        <f t="shared" si="48"/>
        <v>75852.571312</v>
      </c>
      <c r="AF31" s="376">
        <f>H31*0.27</f>
        <v>2925.7420363199999</v>
      </c>
      <c r="AG31" s="373">
        <f t="shared" si="49"/>
        <v>7836.4520410143996</v>
      </c>
      <c r="AH31" s="373">
        <f t="shared" si="50"/>
        <v>86688.652927999996</v>
      </c>
      <c r="AI31" s="376">
        <f>H31*0.27</f>
        <v>2925.7420363199999</v>
      </c>
      <c r="AJ31" s="373">
        <f t="shared" si="51"/>
        <v>7836.4520410143996</v>
      </c>
      <c r="AK31" s="373">
        <f t="shared" si="52"/>
        <v>97524.734543999992</v>
      </c>
      <c r="AL31" s="377">
        <f>(AK31-88000)*0.35+(88000-AH31)*0.27</f>
        <v>3687.7207998399981</v>
      </c>
      <c r="AM31" s="373">
        <f t="shared" si="53"/>
        <v>7074.4732774944014</v>
      </c>
      <c r="AN31" s="373">
        <f t="shared" si="54"/>
        <v>108360.81615999999</v>
      </c>
      <c r="AO31" s="377">
        <f>H31*0.35</f>
        <v>3792.6285655999995</v>
      </c>
      <c r="AP31" s="373">
        <f t="shared" si="55"/>
        <v>9352.5368537344002</v>
      </c>
      <c r="AQ31" s="373">
        <f t="shared" si="56"/>
        <v>119196.897776</v>
      </c>
      <c r="AR31" s="377">
        <f t="shared" si="57"/>
        <v>3792.6285655999995</v>
      </c>
      <c r="AS31" s="373">
        <f t="shared" si="58"/>
        <v>6969.5655117343995</v>
      </c>
      <c r="AT31" s="373">
        <f t="shared" si="59"/>
        <v>130032.97939199999</v>
      </c>
      <c r="AU31" s="377">
        <f t="shared" si="60"/>
        <v>3792.6285655999995</v>
      </c>
      <c r="AV31" s="373">
        <f t="shared" si="61"/>
        <v>6969.5655117343995</v>
      </c>
      <c r="AW31" s="292"/>
    </row>
    <row r="32" spans="1:49" ht="28.5" x14ac:dyDescent="0.45">
      <c r="A32" s="716"/>
      <c r="B32" s="387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62"/>
        <v>9333.2788</v>
      </c>
      <c r="I32" s="363">
        <v>0.25</v>
      </c>
      <c r="J32" s="362">
        <v>6844</v>
      </c>
      <c r="K32" s="361">
        <f t="shared" si="11"/>
        <v>6964.9081042866674</v>
      </c>
      <c r="L32" s="372">
        <f t="shared" si="12"/>
        <v>63.969040079999999</v>
      </c>
      <c r="M32" s="373">
        <f t="shared" si="13"/>
        <v>9333.2788</v>
      </c>
      <c r="N32" s="378">
        <f t="shared" ref="N32" si="64">M32*0.15</f>
        <v>1399.99182</v>
      </c>
      <c r="O32" s="373">
        <f t="shared" si="35"/>
        <v>7869.3179399200008</v>
      </c>
      <c r="P32" s="373">
        <f t="shared" si="14"/>
        <v>18666.5576</v>
      </c>
      <c r="Q32" s="374">
        <f t="shared" ref="Q32" si="65">(P32-10000)*0.2+(10000-M32)*0.15</f>
        <v>1833.3197000000002</v>
      </c>
      <c r="R32" s="373">
        <f t="shared" si="36"/>
        <v>7435.9900599200009</v>
      </c>
      <c r="S32" s="373">
        <f t="shared" si="37"/>
        <v>27999.8364</v>
      </c>
      <c r="T32" s="376">
        <f>(S32-25000)*0.27+(25000-P32)*0.2</f>
        <v>2076.6443079999999</v>
      </c>
      <c r="U32" s="373">
        <f t="shared" si="39"/>
        <v>7192.665451920001</v>
      </c>
      <c r="V32" s="373">
        <f t="shared" si="40"/>
        <v>37333.1152</v>
      </c>
      <c r="W32" s="376">
        <f t="shared" si="41"/>
        <v>2519.9852760000003</v>
      </c>
      <c r="X32" s="373">
        <f t="shared" si="42"/>
        <v>6749.3244839200006</v>
      </c>
      <c r="Y32" s="373">
        <f t="shared" si="43"/>
        <v>46666.394</v>
      </c>
      <c r="Z32" s="376">
        <f t="shared" si="44"/>
        <v>2519.9852760000003</v>
      </c>
      <c r="AA32" s="373">
        <f t="shared" si="45"/>
        <v>6749.3244839200006</v>
      </c>
      <c r="AB32" s="373">
        <f t="shared" si="46"/>
        <v>55999.6728</v>
      </c>
      <c r="AC32" s="376">
        <f t="shared" si="63"/>
        <v>2519.9852760000003</v>
      </c>
      <c r="AD32" s="373">
        <f t="shared" si="47"/>
        <v>6749.3244839200006</v>
      </c>
      <c r="AE32" s="373">
        <f t="shared" si="48"/>
        <v>65332.9516</v>
      </c>
      <c r="AF32" s="376">
        <f>H32*0.27</f>
        <v>2519.9852760000003</v>
      </c>
      <c r="AG32" s="373">
        <f t="shared" si="49"/>
        <v>6749.3244839200006</v>
      </c>
      <c r="AH32" s="373">
        <f t="shared" si="50"/>
        <v>74666.2304</v>
      </c>
      <c r="AI32" s="376">
        <f>H32*0.27</f>
        <v>2519.9852760000003</v>
      </c>
      <c r="AJ32" s="373">
        <f t="shared" si="51"/>
        <v>6749.3244839200006</v>
      </c>
      <c r="AK32" s="373">
        <f t="shared" si="52"/>
        <v>83999.5092</v>
      </c>
      <c r="AL32" s="376">
        <f>H32*0.27</f>
        <v>2519.9852760000003</v>
      </c>
      <c r="AM32" s="373">
        <f t="shared" si="53"/>
        <v>6749.3244839200006</v>
      </c>
      <c r="AN32" s="373">
        <f t="shared" si="54"/>
        <v>93332.788</v>
      </c>
      <c r="AO32" s="377">
        <f>(AN32-88000)*0.35+(88000-AK32)*0.27</f>
        <v>2946.6083159999998</v>
      </c>
      <c r="AP32" s="373">
        <f t="shared" si="55"/>
        <v>7859.6525363200008</v>
      </c>
      <c r="AQ32" s="373">
        <f t="shared" si="56"/>
        <v>102666.0668</v>
      </c>
      <c r="AR32" s="377">
        <f t="shared" si="57"/>
        <v>3266.6475799999998</v>
      </c>
      <c r="AS32" s="373">
        <f t="shared" si="58"/>
        <v>6002.6621799200011</v>
      </c>
      <c r="AT32" s="373">
        <f t="shared" si="59"/>
        <v>111999.3456</v>
      </c>
      <c r="AU32" s="377">
        <f t="shared" si="60"/>
        <v>3266.6475799999998</v>
      </c>
      <c r="AV32" s="373">
        <f t="shared" si="61"/>
        <v>6002.6621799200011</v>
      </c>
      <c r="AW32" s="292"/>
    </row>
    <row r="33" spans="1:49" ht="28.5" x14ac:dyDescent="0.45">
      <c r="A33" s="716"/>
      <c r="B33" s="347" t="s">
        <v>32</v>
      </c>
      <c r="C33" s="283">
        <v>450</v>
      </c>
      <c r="D33" s="238">
        <v>4996.0199999999995</v>
      </c>
      <c r="E33" s="238">
        <v>14988.06</v>
      </c>
      <c r="F33" s="238">
        <f t="shared" si="33"/>
        <v>19984.079999999998</v>
      </c>
      <c r="G33" s="233">
        <v>359</v>
      </c>
      <c r="H33" s="353">
        <f t="shared" si="62"/>
        <v>13090.285839999997</v>
      </c>
      <c r="I33" s="363">
        <v>0.6</v>
      </c>
      <c r="J33" s="362">
        <v>9500</v>
      </c>
      <c r="K33" s="361">
        <f t="shared" si="11"/>
        <v>9518.4157444893335</v>
      </c>
      <c r="L33" s="372">
        <f t="shared" si="12"/>
        <v>88.765286543999977</v>
      </c>
      <c r="M33" s="373">
        <f t="shared" si="13"/>
        <v>13090.285839999997</v>
      </c>
      <c r="N33" s="374">
        <f t="shared" si="34"/>
        <v>2118.0571679999994</v>
      </c>
      <c r="O33" s="373">
        <f t="shared" si="35"/>
        <v>10883.463385455998</v>
      </c>
      <c r="P33" s="373">
        <f t="shared" si="14"/>
        <v>26180.571679999994</v>
      </c>
      <c r="Q33" s="376">
        <f>(P33-25000)*0.27+(25000-M33)*0.2</f>
        <v>2700.6971855999991</v>
      </c>
      <c r="R33" s="373">
        <f t="shared" si="36"/>
        <v>10300.823367855999</v>
      </c>
      <c r="S33" s="373">
        <f t="shared" si="37"/>
        <v>39270.85751999999</v>
      </c>
      <c r="T33" s="376">
        <f t="shared" si="38"/>
        <v>3534.3771767999992</v>
      </c>
      <c r="U33" s="373">
        <f t="shared" si="39"/>
        <v>9467.1433766559985</v>
      </c>
      <c r="V33" s="373">
        <f t="shared" si="40"/>
        <v>52361.143359999987</v>
      </c>
      <c r="W33" s="376">
        <f t="shared" si="41"/>
        <v>3534.3771767999992</v>
      </c>
      <c r="X33" s="373">
        <f t="shared" si="42"/>
        <v>9467.1433766559985</v>
      </c>
      <c r="Y33" s="373">
        <f t="shared" si="43"/>
        <v>65451.429199999984</v>
      </c>
      <c r="Z33" s="376">
        <f t="shared" si="44"/>
        <v>3534.3771767999992</v>
      </c>
      <c r="AA33" s="373">
        <f t="shared" si="45"/>
        <v>9467.1433766559985</v>
      </c>
      <c r="AB33" s="373">
        <f t="shared" si="46"/>
        <v>78541.715039999981</v>
      </c>
      <c r="AC33" s="376">
        <f t="shared" si="63"/>
        <v>3534.3771767999992</v>
      </c>
      <c r="AD33" s="373">
        <f t="shared" si="47"/>
        <v>9467.1433766559985</v>
      </c>
      <c r="AE33" s="373">
        <f t="shared" si="48"/>
        <v>91632.000879999978</v>
      </c>
      <c r="AF33" s="377">
        <f>(AE33-88000)*0.35+(88000-AB33)*0.27</f>
        <v>3824.9372471999977</v>
      </c>
      <c r="AG33" s="373">
        <f t="shared" si="49"/>
        <v>9176.5833062559996</v>
      </c>
      <c r="AH33" s="373">
        <f t="shared" si="50"/>
        <v>104722.28671999997</v>
      </c>
      <c r="AI33" s="377">
        <f>H33*0.35</f>
        <v>4581.6000439999989</v>
      </c>
      <c r="AJ33" s="373">
        <f t="shared" si="51"/>
        <v>8419.9205094559984</v>
      </c>
      <c r="AK33" s="373">
        <f t="shared" si="52"/>
        <v>117812.57255999997</v>
      </c>
      <c r="AL33" s="377">
        <f>H33*0.35</f>
        <v>4581.6000439999989</v>
      </c>
      <c r="AM33" s="373">
        <f t="shared" si="53"/>
        <v>8419.9205094559984</v>
      </c>
      <c r="AN33" s="373">
        <f t="shared" si="54"/>
        <v>130902.85839999997</v>
      </c>
      <c r="AO33" s="377">
        <f>H33*0.35</f>
        <v>4581.6000439999989</v>
      </c>
      <c r="AP33" s="373">
        <f t="shared" si="55"/>
        <v>11591.863329855998</v>
      </c>
      <c r="AQ33" s="373">
        <f t="shared" si="56"/>
        <v>143993.14423999997</v>
      </c>
      <c r="AR33" s="377">
        <f t="shared" si="57"/>
        <v>4581.6000439999989</v>
      </c>
      <c r="AS33" s="373">
        <f t="shared" si="58"/>
        <v>8419.9205094559984</v>
      </c>
      <c r="AT33" s="373">
        <f t="shared" si="59"/>
        <v>157083.43007999996</v>
      </c>
      <c r="AU33" s="377">
        <f t="shared" si="60"/>
        <v>4581.6000439999989</v>
      </c>
      <c r="AV33" s="373">
        <f t="shared" si="61"/>
        <v>8419.9205094559984</v>
      </c>
      <c r="AW33" s="292"/>
    </row>
    <row r="34" spans="1:49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33"/>
        <v>19984.079999999998</v>
      </c>
      <c r="G34" s="233">
        <v>359</v>
      </c>
      <c r="H34" s="353">
        <f t="shared" si="62"/>
        <v>11399.632672</v>
      </c>
      <c r="I34" s="363">
        <v>0.48</v>
      </c>
      <c r="J34" s="362">
        <v>8300</v>
      </c>
      <c r="K34" s="361">
        <f t="shared" si="11"/>
        <v>8381.3387787981337</v>
      </c>
      <c r="L34" s="372">
        <f t="shared" si="12"/>
        <v>77.606975635200001</v>
      </c>
      <c r="M34" s="373">
        <f t="shared" si="13"/>
        <v>11399.632672</v>
      </c>
      <c r="N34" s="374">
        <f t="shared" si="34"/>
        <v>1779.9265344</v>
      </c>
      <c r="O34" s="373">
        <f t="shared" si="35"/>
        <v>9542.0991619647994</v>
      </c>
      <c r="P34" s="373">
        <f t="shared" si="14"/>
        <v>22799.265343999999</v>
      </c>
      <c r="Q34" s="376">
        <f>M34*0.2</f>
        <v>2279.9265344</v>
      </c>
      <c r="R34" s="373">
        <f t="shared" si="36"/>
        <v>9042.0991619647994</v>
      </c>
      <c r="S34" s="373">
        <f t="shared" si="37"/>
        <v>34198.898015999999</v>
      </c>
      <c r="T34" s="376">
        <f>(S34-25000)*0.27+(25000-P34)*0.2</f>
        <v>2923.8493955200001</v>
      </c>
      <c r="U34" s="373">
        <f t="shared" si="39"/>
        <v>8398.1763008447997</v>
      </c>
      <c r="V34" s="373">
        <f t="shared" si="40"/>
        <v>45598.530687999999</v>
      </c>
      <c r="W34" s="376">
        <f t="shared" si="41"/>
        <v>3077.9008214400001</v>
      </c>
      <c r="X34" s="373">
        <f t="shared" si="42"/>
        <v>8244.1248749247989</v>
      </c>
      <c r="Y34" s="373">
        <f t="shared" si="43"/>
        <v>56998.163359999999</v>
      </c>
      <c r="Z34" s="376">
        <f t="shared" si="44"/>
        <v>3077.9008214400001</v>
      </c>
      <c r="AA34" s="373">
        <f t="shared" si="45"/>
        <v>8244.1248749247989</v>
      </c>
      <c r="AB34" s="373">
        <f t="shared" si="46"/>
        <v>68397.796031999998</v>
      </c>
      <c r="AC34" s="376">
        <f t="shared" si="63"/>
        <v>3077.9008214400001</v>
      </c>
      <c r="AD34" s="373">
        <f t="shared" si="47"/>
        <v>8244.1248749247989</v>
      </c>
      <c r="AE34" s="373">
        <f t="shared" si="48"/>
        <v>79797.428703999991</v>
      </c>
      <c r="AF34" s="376">
        <f>H34*0.27</f>
        <v>3077.9008214400001</v>
      </c>
      <c r="AG34" s="373">
        <f t="shared" si="49"/>
        <v>8244.1248749247989</v>
      </c>
      <c r="AH34" s="373">
        <f t="shared" si="50"/>
        <v>91197.061375999998</v>
      </c>
      <c r="AI34" s="377">
        <f>(AH34-88000)*0.35+(88000-AE34)*0.27</f>
        <v>3333.6657315200018</v>
      </c>
      <c r="AJ34" s="373">
        <f t="shared" si="51"/>
        <v>7988.3599648447971</v>
      </c>
      <c r="AK34" s="373">
        <f t="shared" si="52"/>
        <v>102596.694048</v>
      </c>
      <c r="AL34" s="377">
        <f>H34*0.35</f>
        <v>3989.8714351999997</v>
      </c>
      <c r="AM34" s="373">
        <f t="shared" si="53"/>
        <v>7332.1542611647992</v>
      </c>
      <c r="AN34" s="373">
        <f t="shared" si="54"/>
        <v>113996.32672</v>
      </c>
      <c r="AO34" s="377">
        <f>H34*0.35</f>
        <v>3989.8714351999997</v>
      </c>
      <c r="AP34" s="373">
        <f t="shared" si="55"/>
        <v>9912.3684727647997</v>
      </c>
      <c r="AQ34" s="373">
        <f t="shared" si="56"/>
        <v>125395.95939199999</v>
      </c>
      <c r="AR34" s="377">
        <f t="shared" si="57"/>
        <v>3989.8714351999997</v>
      </c>
      <c r="AS34" s="373">
        <f t="shared" si="58"/>
        <v>7332.1542611647992</v>
      </c>
      <c r="AT34" s="373">
        <f t="shared" si="59"/>
        <v>136795.592064</v>
      </c>
      <c r="AU34" s="377">
        <f t="shared" si="60"/>
        <v>3989.8714351999997</v>
      </c>
      <c r="AV34" s="373">
        <f t="shared" si="61"/>
        <v>7332.1542611647992</v>
      </c>
      <c r="AW34" s="292"/>
    </row>
    <row r="35" spans="1:49" ht="28.5" x14ac:dyDescent="0.45">
      <c r="A35" s="716"/>
      <c r="B35" s="387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33"/>
        <v>14988.059999999998</v>
      </c>
      <c r="G35" s="233">
        <v>359</v>
      </c>
      <c r="H35" s="353">
        <f t="shared" si="62"/>
        <v>9802.9046799999996</v>
      </c>
      <c r="I35" s="363">
        <v>0.55000000000000004</v>
      </c>
      <c r="J35" s="362">
        <v>7300</v>
      </c>
      <c r="K35" s="361">
        <f t="shared" si="11"/>
        <v>7307.4327556453345</v>
      </c>
      <c r="L35" s="372">
        <f t="shared" si="12"/>
        <v>67.068570887999996</v>
      </c>
      <c r="M35" s="373">
        <f t="shared" si="13"/>
        <v>9802.9046799999996</v>
      </c>
      <c r="N35" s="378">
        <f t="shared" ref="N35:N38" si="66">M35*0.15</f>
        <v>1470.435702</v>
      </c>
      <c r="O35" s="373">
        <f t="shared" si="35"/>
        <v>8265.4004071119998</v>
      </c>
      <c r="P35" s="373">
        <f t="shared" si="14"/>
        <v>19605.809359999999</v>
      </c>
      <c r="Q35" s="374">
        <f t="shared" ref="Q35:Q38" si="67">(P35-10000)*0.2+(10000-M35)*0.15</f>
        <v>1950.7261699999999</v>
      </c>
      <c r="R35" s="373">
        <f t="shared" si="36"/>
        <v>7785.1099391120006</v>
      </c>
      <c r="S35" s="373">
        <f t="shared" si="37"/>
        <v>29408.714039999999</v>
      </c>
      <c r="T35" s="376">
        <f>(S35-25000)*0.27+(25000-P35)*0.2</f>
        <v>2269.1909188</v>
      </c>
      <c r="U35" s="373">
        <f t="shared" si="39"/>
        <v>7466.6451903120005</v>
      </c>
      <c r="V35" s="373">
        <f t="shared" si="40"/>
        <v>39211.618719999999</v>
      </c>
      <c r="W35" s="376">
        <f t="shared" si="41"/>
        <v>2646.7842636</v>
      </c>
      <c r="X35" s="373">
        <f t="shared" si="42"/>
        <v>7089.051845512</v>
      </c>
      <c r="Y35" s="373">
        <f t="shared" si="43"/>
        <v>49014.523399999998</v>
      </c>
      <c r="Z35" s="376">
        <f t="shared" si="44"/>
        <v>2646.7842636</v>
      </c>
      <c r="AA35" s="373">
        <f t="shared" si="45"/>
        <v>7089.051845512</v>
      </c>
      <c r="AB35" s="373">
        <f t="shared" si="46"/>
        <v>58817.428079999998</v>
      </c>
      <c r="AC35" s="376">
        <f t="shared" si="63"/>
        <v>2646.7842636</v>
      </c>
      <c r="AD35" s="373">
        <f t="shared" si="47"/>
        <v>7089.051845512</v>
      </c>
      <c r="AE35" s="373">
        <f t="shared" si="48"/>
        <v>68620.33275999999</v>
      </c>
      <c r="AF35" s="376">
        <f>H35*0.27</f>
        <v>2646.7842636</v>
      </c>
      <c r="AG35" s="373">
        <f t="shared" si="49"/>
        <v>7089.051845512</v>
      </c>
      <c r="AH35" s="373">
        <f t="shared" si="50"/>
        <v>78423.237439999997</v>
      </c>
      <c r="AI35" s="376">
        <f>H35*0.27</f>
        <v>2646.7842636</v>
      </c>
      <c r="AJ35" s="373">
        <f t="shared" si="51"/>
        <v>7089.051845512</v>
      </c>
      <c r="AK35" s="373">
        <f t="shared" si="52"/>
        <v>88226.142120000004</v>
      </c>
      <c r="AL35" s="377">
        <f>(AK35-88000)*0.35+(88000-AH35)*0.27</f>
        <v>2664.8756332000025</v>
      </c>
      <c r="AM35" s="373">
        <f t="shared" si="53"/>
        <v>7070.9604759119975</v>
      </c>
      <c r="AN35" s="373">
        <f t="shared" si="54"/>
        <v>98029.046799999996</v>
      </c>
      <c r="AO35" s="377">
        <f>H35*0.35</f>
        <v>3431.0166379999996</v>
      </c>
      <c r="AP35" s="373">
        <f t="shared" si="55"/>
        <v>8326.1788855119994</v>
      </c>
      <c r="AQ35" s="373">
        <f t="shared" si="56"/>
        <v>107831.95147999999</v>
      </c>
      <c r="AR35" s="377">
        <f t="shared" si="57"/>
        <v>3431.0166379999996</v>
      </c>
      <c r="AS35" s="373">
        <f t="shared" si="58"/>
        <v>6304.8194711120013</v>
      </c>
      <c r="AT35" s="373">
        <f t="shared" si="59"/>
        <v>117634.85616</v>
      </c>
      <c r="AU35" s="377">
        <f t="shared" si="60"/>
        <v>3431.0166379999996</v>
      </c>
      <c r="AV35" s="373">
        <f t="shared" si="61"/>
        <v>6304.8194711120013</v>
      </c>
      <c r="AW35" s="292"/>
    </row>
    <row r="36" spans="1:49" ht="28.5" x14ac:dyDescent="0.45">
      <c r="A36" s="716"/>
      <c r="B36" s="387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33"/>
        <v>14988.059999999998</v>
      </c>
      <c r="G36" s="233">
        <v>359</v>
      </c>
      <c r="H36" s="353">
        <f t="shared" si="62"/>
        <v>9802.9046799999996</v>
      </c>
      <c r="I36" s="363">
        <v>0.55000000000000004</v>
      </c>
      <c r="J36" s="362">
        <v>7100</v>
      </c>
      <c r="K36" s="361">
        <f t="shared" si="11"/>
        <v>7138.9861377786683</v>
      </c>
      <c r="L36" s="372">
        <f t="shared" si="12"/>
        <v>67.068570887999996</v>
      </c>
      <c r="M36" s="373">
        <f t="shared" si="13"/>
        <v>9802.9046799999996</v>
      </c>
      <c r="N36" s="378">
        <f t="shared" si="66"/>
        <v>1470.435702</v>
      </c>
      <c r="O36" s="373">
        <f t="shared" si="35"/>
        <v>8265.4004071119998</v>
      </c>
      <c r="P36" s="373">
        <f t="shared" si="14"/>
        <v>19605.809359999999</v>
      </c>
      <c r="Q36" s="374">
        <f t="shared" si="67"/>
        <v>1950.7261699999999</v>
      </c>
      <c r="R36" s="373">
        <f t="shared" si="36"/>
        <v>7785.1099391120006</v>
      </c>
      <c r="S36" s="373">
        <f t="shared" si="37"/>
        <v>29408.714039999999</v>
      </c>
      <c r="T36" s="376">
        <f>(S36-25000)*0.27+(25000-P36)*0.2</f>
        <v>2269.1909188</v>
      </c>
      <c r="U36" s="373">
        <f t="shared" si="39"/>
        <v>7466.6451903120005</v>
      </c>
      <c r="V36" s="373">
        <f t="shared" si="40"/>
        <v>39211.618719999999</v>
      </c>
      <c r="W36" s="376">
        <f t="shared" si="41"/>
        <v>2646.7842636</v>
      </c>
      <c r="X36" s="373">
        <f t="shared" si="42"/>
        <v>7089.051845512</v>
      </c>
      <c r="Y36" s="373">
        <f t="shared" si="43"/>
        <v>49014.523399999998</v>
      </c>
      <c r="Z36" s="376">
        <f t="shared" si="44"/>
        <v>2646.7842636</v>
      </c>
      <c r="AA36" s="373">
        <f t="shared" si="45"/>
        <v>7089.051845512</v>
      </c>
      <c r="AB36" s="373">
        <f t="shared" si="46"/>
        <v>58817.428079999998</v>
      </c>
      <c r="AC36" s="376">
        <f t="shared" si="63"/>
        <v>2646.7842636</v>
      </c>
      <c r="AD36" s="373">
        <f t="shared" si="47"/>
        <v>7089.051845512</v>
      </c>
      <c r="AE36" s="373">
        <f t="shared" si="48"/>
        <v>68620.33275999999</v>
      </c>
      <c r="AF36" s="376">
        <f>H36*0.27</f>
        <v>2646.7842636</v>
      </c>
      <c r="AG36" s="373">
        <f t="shared" si="49"/>
        <v>7089.051845512</v>
      </c>
      <c r="AH36" s="373">
        <f t="shared" si="50"/>
        <v>78423.237439999997</v>
      </c>
      <c r="AI36" s="376">
        <f>H36*0.27</f>
        <v>2646.7842636</v>
      </c>
      <c r="AJ36" s="373">
        <f t="shared" si="51"/>
        <v>7089.051845512</v>
      </c>
      <c r="AK36" s="373">
        <f t="shared" si="52"/>
        <v>88226.142120000004</v>
      </c>
      <c r="AL36" s="377">
        <f>(AK36-88000)*0.35+(88000-AH36)*0.27</f>
        <v>2664.8756332000025</v>
      </c>
      <c r="AM36" s="373">
        <f t="shared" si="53"/>
        <v>7070.9604759119975</v>
      </c>
      <c r="AN36" s="373">
        <f t="shared" si="54"/>
        <v>98029.046799999996</v>
      </c>
      <c r="AO36" s="377">
        <f>H36*0.35</f>
        <v>3431.0166379999996</v>
      </c>
      <c r="AP36" s="373">
        <f>H36-L36-AO36</f>
        <v>6304.8194711120013</v>
      </c>
      <c r="AQ36" s="373">
        <f t="shared" si="56"/>
        <v>107831.95147999999</v>
      </c>
      <c r="AR36" s="377">
        <f t="shared" si="57"/>
        <v>3431.0166379999996</v>
      </c>
      <c r="AS36" s="373">
        <f t="shared" si="58"/>
        <v>6304.8194711120013</v>
      </c>
      <c r="AT36" s="373">
        <f t="shared" si="59"/>
        <v>117634.85616</v>
      </c>
      <c r="AU36" s="377">
        <f t="shared" si="60"/>
        <v>3431.0166379999996</v>
      </c>
      <c r="AV36" s="373">
        <f t="shared" si="61"/>
        <v>6304.8194711120013</v>
      </c>
      <c r="AW36" s="292"/>
    </row>
    <row r="37" spans="1:49" ht="28.5" x14ac:dyDescent="0.45">
      <c r="A37" s="716"/>
      <c r="B37" s="387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33"/>
        <v>14988.059999999998</v>
      </c>
      <c r="G37" s="233">
        <v>359</v>
      </c>
      <c r="H37" s="353">
        <f t="shared" si="62"/>
        <v>9333.2788</v>
      </c>
      <c r="I37" s="363">
        <v>0.5</v>
      </c>
      <c r="J37" s="362">
        <v>6900</v>
      </c>
      <c r="K37" s="361">
        <f t="shared" si="11"/>
        <v>6964.9081042866674</v>
      </c>
      <c r="L37" s="372">
        <f t="shared" si="12"/>
        <v>63.969040079999999</v>
      </c>
      <c r="M37" s="373">
        <f t="shared" si="13"/>
        <v>9333.2788</v>
      </c>
      <c r="N37" s="378">
        <f t="shared" si="66"/>
        <v>1399.99182</v>
      </c>
      <c r="O37" s="373">
        <f t="shared" si="35"/>
        <v>7869.3179399200008</v>
      </c>
      <c r="P37" s="373">
        <f t="shared" si="14"/>
        <v>18666.5576</v>
      </c>
      <c r="Q37" s="374">
        <f t="shared" si="67"/>
        <v>1833.3197000000002</v>
      </c>
      <c r="R37" s="373">
        <f t="shared" si="36"/>
        <v>7435.9900599200009</v>
      </c>
      <c r="S37" s="373">
        <f t="shared" si="37"/>
        <v>27999.8364</v>
      </c>
      <c r="T37" s="376">
        <f>(S37-25000)*0.27+(25000-P37)*0.2</f>
        <v>2076.6443079999999</v>
      </c>
      <c r="U37" s="373">
        <f t="shared" si="39"/>
        <v>7192.665451920001</v>
      </c>
      <c r="V37" s="373">
        <f t="shared" si="40"/>
        <v>37333.1152</v>
      </c>
      <c r="W37" s="376">
        <f t="shared" si="41"/>
        <v>2519.9852760000003</v>
      </c>
      <c r="X37" s="373">
        <f t="shared" si="42"/>
        <v>6749.3244839200006</v>
      </c>
      <c r="Y37" s="373">
        <f t="shared" si="43"/>
        <v>46666.394</v>
      </c>
      <c r="Z37" s="376">
        <f t="shared" si="44"/>
        <v>2519.9852760000003</v>
      </c>
      <c r="AA37" s="373">
        <f t="shared" si="45"/>
        <v>6749.3244839200006</v>
      </c>
      <c r="AB37" s="373">
        <f t="shared" si="46"/>
        <v>55999.6728</v>
      </c>
      <c r="AC37" s="376">
        <f t="shared" si="63"/>
        <v>2519.9852760000003</v>
      </c>
      <c r="AD37" s="373">
        <f t="shared" si="47"/>
        <v>6749.3244839200006</v>
      </c>
      <c r="AE37" s="373">
        <f t="shared" si="48"/>
        <v>65332.9516</v>
      </c>
      <c r="AF37" s="376">
        <f>H37*0.27</f>
        <v>2519.9852760000003</v>
      </c>
      <c r="AG37" s="373">
        <f t="shared" si="49"/>
        <v>6749.3244839200006</v>
      </c>
      <c r="AH37" s="373">
        <f t="shared" si="50"/>
        <v>74666.2304</v>
      </c>
      <c r="AI37" s="376">
        <f>H37*0.27</f>
        <v>2519.9852760000003</v>
      </c>
      <c r="AJ37" s="373">
        <f t="shared" si="51"/>
        <v>6749.3244839200006</v>
      </c>
      <c r="AK37" s="373">
        <f t="shared" si="52"/>
        <v>83999.5092</v>
      </c>
      <c r="AL37" s="376">
        <f>H37*0.27</f>
        <v>2519.9852760000003</v>
      </c>
      <c r="AM37" s="373">
        <f t="shared" si="53"/>
        <v>6749.3244839200006</v>
      </c>
      <c r="AN37" s="373">
        <f t="shared" si="54"/>
        <v>93332.788</v>
      </c>
      <c r="AO37" s="377">
        <f>(AN37-88000)*0.35+(88000-AK37)*0.27</f>
        <v>2946.6083159999998</v>
      </c>
      <c r="AP37" s="373">
        <f t="shared" ref="AP37:AP54" si="68">H37-L37-$AO$26</f>
        <v>7859.6525363200008</v>
      </c>
      <c r="AQ37" s="373">
        <f t="shared" si="56"/>
        <v>102666.0668</v>
      </c>
      <c r="AR37" s="377">
        <f t="shared" si="57"/>
        <v>3266.6475799999998</v>
      </c>
      <c r="AS37" s="373">
        <f t="shared" si="58"/>
        <v>6002.6621799200011</v>
      </c>
      <c r="AT37" s="373">
        <f t="shared" si="59"/>
        <v>111999.3456</v>
      </c>
      <c r="AU37" s="377">
        <f t="shared" si="60"/>
        <v>3266.6475799999998</v>
      </c>
      <c r="AV37" s="373">
        <f t="shared" si="61"/>
        <v>6002.6621799200011</v>
      </c>
      <c r="AW37" s="292"/>
    </row>
    <row r="38" spans="1:49" ht="28.5" x14ac:dyDescent="0.45">
      <c r="A38" s="716"/>
      <c r="B38" s="347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33"/>
        <v>14988.059999999998</v>
      </c>
      <c r="G38" s="233">
        <v>359</v>
      </c>
      <c r="H38" s="353">
        <f t="shared" si="62"/>
        <v>6515.5235199999997</v>
      </c>
      <c r="I38" s="363">
        <v>0.2</v>
      </c>
      <c r="J38" s="362">
        <v>4900</v>
      </c>
      <c r="K38" s="361">
        <f t="shared" si="11"/>
        <v>4987.5881582679995</v>
      </c>
      <c r="L38" s="372">
        <f t="shared" si="12"/>
        <v>45.371855232000001</v>
      </c>
      <c r="M38" s="373">
        <f t="shared" si="13"/>
        <v>6515.5235199999997</v>
      </c>
      <c r="N38" s="378">
        <f t="shared" si="66"/>
        <v>977.32852799999989</v>
      </c>
      <c r="O38" s="373">
        <f t="shared" si="35"/>
        <v>5492.823136768</v>
      </c>
      <c r="P38" s="373">
        <f t="shared" si="14"/>
        <v>13031.047039999999</v>
      </c>
      <c r="Q38" s="374">
        <f t="shared" si="67"/>
        <v>1128.8808799999999</v>
      </c>
      <c r="R38" s="373">
        <f t="shared" si="36"/>
        <v>5341.2707847680003</v>
      </c>
      <c r="S38" s="373">
        <f t="shared" si="37"/>
        <v>19546.57056</v>
      </c>
      <c r="T38" s="374">
        <f>M38*0.2</f>
        <v>1303.1047040000001</v>
      </c>
      <c r="U38" s="373">
        <f t="shared" si="39"/>
        <v>5167.0469607679997</v>
      </c>
      <c r="V38" s="373">
        <f t="shared" si="40"/>
        <v>26062.094079999999</v>
      </c>
      <c r="W38" s="376">
        <f>(V38-25000)*0.27+(25000-S38)*0.2</f>
        <v>1377.4512895999997</v>
      </c>
      <c r="X38" s="373">
        <f t="shared" si="42"/>
        <v>5092.7003751680004</v>
      </c>
      <c r="Y38" s="373">
        <f t="shared" si="43"/>
        <v>32577.617599999998</v>
      </c>
      <c r="Z38" s="376">
        <f t="shared" si="44"/>
        <v>1759.1913504000001</v>
      </c>
      <c r="AA38" s="373">
        <f t="shared" si="45"/>
        <v>4710.9603143679997</v>
      </c>
      <c r="AB38" s="373">
        <f t="shared" si="46"/>
        <v>39093.14112</v>
      </c>
      <c r="AC38" s="376">
        <f t="shared" si="63"/>
        <v>1759.1913504000001</v>
      </c>
      <c r="AD38" s="373">
        <f t="shared" si="47"/>
        <v>4710.9603143679997</v>
      </c>
      <c r="AE38" s="373">
        <f t="shared" si="48"/>
        <v>45608.664639999995</v>
      </c>
      <c r="AF38" s="376">
        <f>H38*0.27</f>
        <v>1759.1913504000001</v>
      </c>
      <c r="AG38" s="373">
        <f t="shared" si="49"/>
        <v>4710.9603143679997</v>
      </c>
      <c r="AH38" s="373">
        <f t="shared" si="50"/>
        <v>52124.188159999998</v>
      </c>
      <c r="AI38" s="376">
        <f>H38*0.27</f>
        <v>1759.1913504000001</v>
      </c>
      <c r="AJ38" s="373">
        <f t="shared" si="51"/>
        <v>4710.9603143679997</v>
      </c>
      <c r="AK38" s="373">
        <f t="shared" si="52"/>
        <v>58639.71168</v>
      </c>
      <c r="AL38" s="376">
        <f>H38*0.27</f>
        <v>1759.1913504000001</v>
      </c>
      <c r="AM38" s="373">
        <f t="shared" si="53"/>
        <v>4710.9603143679997</v>
      </c>
      <c r="AN38" s="373">
        <f t="shared" si="54"/>
        <v>65155.235199999996</v>
      </c>
      <c r="AO38" s="376">
        <f>H38*0.27</f>
        <v>1759.1913504000001</v>
      </c>
      <c r="AP38" s="373">
        <f t="shared" si="68"/>
        <v>5060.4944411679999</v>
      </c>
      <c r="AQ38" s="373">
        <f t="shared" si="56"/>
        <v>71670.758719999998</v>
      </c>
      <c r="AR38" s="376">
        <f>H38*0.27</f>
        <v>1759.1913504000001</v>
      </c>
      <c r="AS38" s="373">
        <f t="shared" si="58"/>
        <v>4710.9603143679997</v>
      </c>
      <c r="AT38" s="373">
        <f t="shared" si="59"/>
        <v>78186.28224</v>
      </c>
      <c r="AU38" s="376">
        <f>H38*0.27</f>
        <v>1759.1913504000001</v>
      </c>
      <c r="AV38" s="373">
        <f t="shared" si="61"/>
        <v>4710.9603143679997</v>
      </c>
      <c r="AW38" s="292"/>
    </row>
    <row r="39" spans="1:49" ht="28.5" x14ac:dyDescent="0.45">
      <c r="A39" s="716" t="s">
        <v>29</v>
      </c>
      <c r="B39" s="387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33"/>
        <v>24980.1</v>
      </c>
      <c r="G39" s="233">
        <v>359</v>
      </c>
      <c r="H39" s="353">
        <f t="shared" si="62"/>
        <v>16283.741823999997</v>
      </c>
      <c r="I39" s="363">
        <v>0.62</v>
      </c>
      <c r="J39" s="362">
        <v>11600</v>
      </c>
      <c r="K39" s="361">
        <f t="shared" si="11"/>
        <v>11666.22779079493</v>
      </c>
      <c r="L39" s="372">
        <f t="shared" si="12"/>
        <v>109.84209603839997</v>
      </c>
      <c r="M39" s="373">
        <f t="shared" si="13"/>
        <v>16283.741823999997</v>
      </c>
      <c r="N39" s="374">
        <f t="shared" si="34"/>
        <v>2756.7483647999998</v>
      </c>
      <c r="O39" s="373">
        <f t="shared" si="35"/>
        <v>13417.151363161598</v>
      </c>
      <c r="P39" s="373">
        <f t="shared" si="14"/>
        <v>32567.483647999994</v>
      </c>
      <c r="Q39" s="376">
        <f>(P39-25000)*0.27+(25000-M39)*0.2</f>
        <v>3786.4722201599989</v>
      </c>
      <c r="R39" s="373">
        <f t="shared" si="36"/>
        <v>12387.4275078016</v>
      </c>
      <c r="S39" s="373">
        <f t="shared" si="37"/>
        <v>48851.225471999991</v>
      </c>
      <c r="T39" s="376">
        <f t="shared" ref="T39" si="69">M39*0.27</f>
        <v>4396.6102924799998</v>
      </c>
      <c r="U39" s="373">
        <f t="shared" si="39"/>
        <v>11777.289435481598</v>
      </c>
      <c r="V39" s="373">
        <f t="shared" si="40"/>
        <v>65134.967295999988</v>
      </c>
      <c r="W39" s="376">
        <f t="shared" ref="W39:W45" si="70">H39*0.27</f>
        <v>4396.6102924799998</v>
      </c>
      <c r="X39" s="373">
        <f t="shared" si="42"/>
        <v>11777.289435481598</v>
      </c>
      <c r="Y39" s="373">
        <f t="shared" si="43"/>
        <v>81418.709119999985</v>
      </c>
      <c r="Z39" s="376">
        <f t="shared" si="44"/>
        <v>4396.6102924799998</v>
      </c>
      <c r="AA39" s="373">
        <f t="shared" si="45"/>
        <v>11777.289435481598</v>
      </c>
      <c r="AB39" s="373">
        <f t="shared" si="46"/>
        <v>97702.450943999982</v>
      </c>
      <c r="AC39" s="377">
        <f>(AB39-88000)*0.35+(88000-Y39)*0.27</f>
        <v>5172.8063679999977</v>
      </c>
      <c r="AD39" s="373">
        <f t="shared" si="47"/>
        <v>11001.0933599616</v>
      </c>
      <c r="AE39" s="373">
        <f t="shared" si="48"/>
        <v>113986.19276799998</v>
      </c>
      <c r="AF39" s="377">
        <f>H39*0.35</f>
        <v>5699.3096383999982</v>
      </c>
      <c r="AG39" s="373">
        <f t="shared" si="49"/>
        <v>10474.5900895616</v>
      </c>
      <c r="AH39" s="373">
        <f t="shared" si="50"/>
        <v>130269.93459199998</v>
      </c>
      <c r="AI39" s="377">
        <f>H39*0.35</f>
        <v>5699.3096383999982</v>
      </c>
      <c r="AJ39" s="373">
        <f t="shared" si="51"/>
        <v>10474.5900895616</v>
      </c>
      <c r="AK39" s="373">
        <f t="shared" si="52"/>
        <v>146553.67641599997</v>
      </c>
      <c r="AL39" s="377">
        <f>H39*0.35</f>
        <v>5699.3096383999982</v>
      </c>
      <c r="AM39" s="373">
        <f t="shared" si="53"/>
        <v>10474.5900895616</v>
      </c>
      <c r="AN39" s="373">
        <f t="shared" si="54"/>
        <v>162837.41823999997</v>
      </c>
      <c r="AO39" s="377">
        <f>H39*0.35</f>
        <v>5699.3096383999982</v>
      </c>
      <c r="AP39" s="373">
        <f t="shared" si="68"/>
        <v>14764.242504361599</v>
      </c>
      <c r="AQ39" s="373">
        <f t="shared" si="56"/>
        <v>179121.16006399997</v>
      </c>
      <c r="AR39" s="377">
        <f t="shared" ref="AR39:AR45" si="71">H39*0.35</f>
        <v>5699.3096383999982</v>
      </c>
      <c r="AS39" s="373">
        <f t="shared" si="58"/>
        <v>10474.5900895616</v>
      </c>
      <c r="AT39" s="373">
        <f t="shared" si="59"/>
        <v>195404.90188799996</v>
      </c>
      <c r="AU39" s="377">
        <f t="shared" ref="AU39:AU45" si="72">H39*0.35</f>
        <v>5699.3096383999982</v>
      </c>
      <c r="AV39" s="373">
        <f t="shared" si="61"/>
        <v>10474.5900895616</v>
      </c>
      <c r="AW39" s="292"/>
    </row>
    <row r="40" spans="1:49" ht="28.5" x14ac:dyDescent="0.45">
      <c r="A40" s="716"/>
      <c r="B40" s="387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33"/>
        <v>24980.1</v>
      </c>
      <c r="G40" s="233">
        <v>359</v>
      </c>
      <c r="H40" s="353">
        <f t="shared" si="62"/>
        <v>10836.081615999999</v>
      </c>
      <c r="I40" s="363">
        <v>0.33</v>
      </c>
      <c r="J40" s="362">
        <v>7900</v>
      </c>
      <c r="K40" s="361">
        <f t="shared" si="11"/>
        <v>8002.3131235677347</v>
      </c>
      <c r="L40" s="372">
        <f t="shared" si="12"/>
        <v>73.88753866559999</v>
      </c>
      <c r="M40" s="373">
        <f t="shared" si="13"/>
        <v>10836.081615999999</v>
      </c>
      <c r="N40" s="374">
        <f t="shared" si="34"/>
        <v>1667.2163231999998</v>
      </c>
      <c r="O40" s="373">
        <f t="shared" si="35"/>
        <v>9094.9777541343992</v>
      </c>
      <c r="P40" s="373">
        <f t="shared" si="14"/>
        <v>21672.163231999999</v>
      </c>
      <c r="Q40" s="374">
        <f>H40*0.2</f>
        <v>2167.2163231999998</v>
      </c>
      <c r="R40" s="373">
        <f t="shared" si="36"/>
        <v>8594.9777541343992</v>
      </c>
      <c r="S40" s="373">
        <f t="shared" si="37"/>
        <v>32508.244847999998</v>
      </c>
      <c r="T40" s="376">
        <f t="shared" ref="T40:T45" si="73">(S40-25000)*0.27+(25000-P40)*0.2</f>
        <v>2692.7934625600001</v>
      </c>
      <c r="U40" s="373">
        <f t="shared" si="39"/>
        <v>8069.4006147743994</v>
      </c>
      <c r="V40" s="373">
        <f t="shared" si="40"/>
        <v>43344.326463999998</v>
      </c>
      <c r="W40" s="376">
        <f t="shared" si="70"/>
        <v>2925.7420363199999</v>
      </c>
      <c r="X40" s="373">
        <f t="shared" si="42"/>
        <v>7836.4520410143996</v>
      </c>
      <c r="Y40" s="373">
        <f t="shared" si="43"/>
        <v>54180.408079999994</v>
      </c>
      <c r="Z40" s="376">
        <f t="shared" si="44"/>
        <v>2925.7420363199999</v>
      </c>
      <c r="AA40" s="373">
        <f t="shared" si="45"/>
        <v>7836.4520410143996</v>
      </c>
      <c r="AB40" s="373">
        <f t="shared" si="46"/>
        <v>65016.489695999997</v>
      </c>
      <c r="AC40" s="376">
        <f t="shared" ref="AC40:AC51" si="74">H40*0.27</f>
        <v>2925.7420363199999</v>
      </c>
      <c r="AD40" s="373">
        <f t="shared" si="47"/>
        <v>7836.4520410143996</v>
      </c>
      <c r="AE40" s="373">
        <f t="shared" si="48"/>
        <v>75852.571312</v>
      </c>
      <c r="AF40" s="376">
        <f>H40*0.27</f>
        <v>2925.7420363199999</v>
      </c>
      <c r="AG40" s="373">
        <f t="shared" si="49"/>
        <v>7836.4520410143996</v>
      </c>
      <c r="AH40" s="373">
        <f t="shared" si="50"/>
        <v>86688.652927999996</v>
      </c>
      <c r="AI40" s="376">
        <f>H40*0.27</f>
        <v>2925.7420363199999</v>
      </c>
      <c r="AJ40" s="373">
        <f t="shared" si="51"/>
        <v>7836.4520410143996</v>
      </c>
      <c r="AK40" s="373">
        <f t="shared" si="52"/>
        <v>97524.734543999992</v>
      </c>
      <c r="AL40" s="377">
        <f>(AK40-88000)*0.35+(88000-AH40)*0.27</f>
        <v>3687.7207998399981</v>
      </c>
      <c r="AM40" s="373">
        <f t="shared" si="53"/>
        <v>7074.4732774944014</v>
      </c>
      <c r="AN40" s="373">
        <f t="shared" si="54"/>
        <v>108360.81615999999</v>
      </c>
      <c r="AO40" s="377">
        <f>H40*0.35</f>
        <v>3792.6285655999995</v>
      </c>
      <c r="AP40" s="373">
        <f t="shared" si="68"/>
        <v>9352.5368537344002</v>
      </c>
      <c r="AQ40" s="373">
        <f t="shared" si="56"/>
        <v>119196.897776</v>
      </c>
      <c r="AR40" s="377">
        <f t="shared" si="71"/>
        <v>3792.6285655999995</v>
      </c>
      <c r="AS40" s="373">
        <f t="shared" si="58"/>
        <v>6969.5655117343995</v>
      </c>
      <c r="AT40" s="373">
        <f t="shared" si="59"/>
        <v>130032.97939199999</v>
      </c>
      <c r="AU40" s="377">
        <f t="shared" si="72"/>
        <v>3792.6285655999995</v>
      </c>
      <c r="AV40" s="373">
        <f t="shared" si="61"/>
        <v>6969.5655117343995</v>
      </c>
      <c r="AW40" s="292"/>
    </row>
    <row r="41" spans="1:49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33"/>
        <v>19984.079999999998</v>
      </c>
      <c r="G41" s="233">
        <v>359</v>
      </c>
      <c r="H41" s="353">
        <f t="shared" si="62"/>
        <v>12385.847019999999</v>
      </c>
      <c r="I41" s="363">
        <v>0.55000000000000004</v>
      </c>
      <c r="J41" s="362">
        <v>9000</v>
      </c>
      <c r="K41" s="361">
        <f t="shared" si="11"/>
        <v>9044.6336754513322</v>
      </c>
      <c r="L41" s="372">
        <f t="shared" si="12"/>
        <v>84.115990331999996</v>
      </c>
      <c r="M41" s="373">
        <f t="shared" si="13"/>
        <v>12385.847019999999</v>
      </c>
      <c r="N41" s="374">
        <f t="shared" si="34"/>
        <v>1977.1694039999998</v>
      </c>
      <c r="O41" s="373">
        <f t="shared" si="35"/>
        <v>10324.561625667999</v>
      </c>
      <c r="P41" s="373">
        <f t="shared" si="14"/>
        <v>24771.694039999998</v>
      </c>
      <c r="Q41" s="374">
        <f>H41*0.2</f>
        <v>2477.1694040000002</v>
      </c>
      <c r="R41" s="373">
        <f t="shared" si="36"/>
        <v>9824.5616256679987</v>
      </c>
      <c r="S41" s="373">
        <f t="shared" si="37"/>
        <v>37157.541059999996</v>
      </c>
      <c r="T41" s="376">
        <f t="shared" si="73"/>
        <v>3328.1972781999998</v>
      </c>
      <c r="U41" s="373">
        <f t="shared" si="39"/>
        <v>8973.5337514679995</v>
      </c>
      <c r="V41" s="373">
        <f t="shared" si="40"/>
        <v>49543.388079999997</v>
      </c>
      <c r="W41" s="376">
        <f t="shared" si="70"/>
        <v>3344.1786953999999</v>
      </c>
      <c r="X41" s="373">
        <f t="shared" si="42"/>
        <v>8957.552334267999</v>
      </c>
      <c r="Y41" s="373">
        <f t="shared" si="43"/>
        <v>61929.235099999998</v>
      </c>
      <c r="Z41" s="376">
        <f t="shared" si="44"/>
        <v>3344.1786953999999</v>
      </c>
      <c r="AA41" s="373">
        <f t="shared" si="45"/>
        <v>8957.552334267999</v>
      </c>
      <c r="AB41" s="373">
        <f t="shared" si="46"/>
        <v>74315.082119999992</v>
      </c>
      <c r="AC41" s="376">
        <f t="shared" si="74"/>
        <v>3344.1786953999999</v>
      </c>
      <c r="AD41" s="373">
        <f t="shared" si="47"/>
        <v>8957.552334267999</v>
      </c>
      <c r="AE41" s="373">
        <f t="shared" si="48"/>
        <v>86700.929139999993</v>
      </c>
      <c r="AF41" s="376">
        <f>H41*0.27</f>
        <v>3344.1786953999999</v>
      </c>
      <c r="AG41" s="373">
        <f t="shared" si="49"/>
        <v>8957.552334267999</v>
      </c>
      <c r="AH41" s="373">
        <f t="shared" si="50"/>
        <v>99086.776159999994</v>
      </c>
      <c r="AI41" s="377">
        <f>(AH41-88000)*0.35+(88000-AE41)*0.27</f>
        <v>4231.1207881999999</v>
      </c>
      <c r="AJ41" s="373">
        <f t="shared" si="51"/>
        <v>8070.610241467999</v>
      </c>
      <c r="AK41" s="373">
        <f t="shared" si="52"/>
        <v>111472.62318</v>
      </c>
      <c r="AL41" s="377">
        <f>H41*0.35</f>
        <v>4335.0464569999995</v>
      </c>
      <c r="AM41" s="373">
        <f t="shared" si="53"/>
        <v>7966.6845726679994</v>
      </c>
      <c r="AN41" s="373">
        <f t="shared" si="54"/>
        <v>123858.4702</v>
      </c>
      <c r="AO41" s="377">
        <f>H41*0.35</f>
        <v>4335.0464569999995</v>
      </c>
      <c r="AP41" s="373">
        <f t="shared" si="68"/>
        <v>10892.073806067998</v>
      </c>
      <c r="AQ41" s="373">
        <f t="shared" si="56"/>
        <v>136244.31722</v>
      </c>
      <c r="AR41" s="377">
        <f t="shared" si="71"/>
        <v>4335.0464569999995</v>
      </c>
      <c r="AS41" s="373">
        <f t="shared" si="58"/>
        <v>7966.6845726679994</v>
      </c>
      <c r="AT41" s="373">
        <f t="shared" si="59"/>
        <v>148630.16423999998</v>
      </c>
      <c r="AU41" s="377">
        <f t="shared" si="72"/>
        <v>4335.0464569999995</v>
      </c>
      <c r="AV41" s="373">
        <f t="shared" si="61"/>
        <v>7966.6845726679994</v>
      </c>
      <c r="AW41" s="292"/>
    </row>
    <row r="42" spans="1:49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33"/>
        <v>19984.079999999998</v>
      </c>
      <c r="G42" s="233">
        <v>359</v>
      </c>
      <c r="H42" s="353">
        <f t="shared" si="62"/>
        <v>10836.081615999999</v>
      </c>
      <c r="I42" s="363">
        <v>0.44</v>
      </c>
      <c r="J42" s="362">
        <v>8000</v>
      </c>
      <c r="K42" s="361">
        <f t="shared" si="11"/>
        <v>8002.3131235677347</v>
      </c>
      <c r="L42" s="372">
        <f t="shared" si="12"/>
        <v>73.88753866559999</v>
      </c>
      <c r="M42" s="373">
        <f t="shared" si="13"/>
        <v>10836.081615999999</v>
      </c>
      <c r="N42" s="374">
        <f t="shared" si="34"/>
        <v>1667.2163231999998</v>
      </c>
      <c r="O42" s="373">
        <f t="shared" si="35"/>
        <v>9094.9777541343992</v>
      </c>
      <c r="P42" s="373">
        <f t="shared" si="14"/>
        <v>21672.163231999999</v>
      </c>
      <c r="Q42" s="374">
        <f>H42*0.2</f>
        <v>2167.2163231999998</v>
      </c>
      <c r="R42" s="373">
        <f t="shared" si="36"/>
        <v>8594.9777541343992</v>
      </c>
      <c r="S42" s="373">
        <f t="shared" si="37"/>
        <v>32508.244847999998</v>
      </c>
      <c r="T42" s="376">
        <f t="shared" si="73"/>
        <v>2692.7934625600001</v>
      </c>
      <c r="U42" s="373">
        <f t="shared" si="39"/>
        <v>8069.4006147743994</v>
      </c>
      <c r="V42" s="373">
        <f t="shared" si="40"/>
        <v>43344.326463999998</v>
      </c>
      <c r="W42" s="376">
        <f t="shared" si="70"/>
        <v>2925.7420363199999</v>
      </c>
      <c r="X42" s="373">
        <f t="shared" si="42"/>
        <v>7836.4520410143996</v>
      </c>
      <c r="Y42" s="373">
        <f t="shared" si="43"/>
        <v>54180.408079999994</v>
      </c>
      <c r="Z42" s="376">
        <f t="shared" si="44"/>
        <v>2925.7420363199999</v>
      </c>
      <c r="AA42" s="373">
        <f t="shared" si="45"/>
        <v>7836.4520410143996</v>
      </c>
      <c r="AB42" s="373">
        <f t="shared" si="46"/>
        <v>65016.489695999997</v>
      </c>
      <c r="AC42" s="376">
        <f t="shared" si="74"/>
        <v>2925.7420363199999</v>
      </c>
      <c r="AD42" s="373">
        <f t="shared" si="47"/>
        <v>7836.4520410143996</v>
      </c>
      <c r="AE42" s="373">
        <f t="shared" si="48"/>
        <v>75852.571312</v>
      </c>
      <c r="AF42" s="376">
        <f t="shared" ref="AF42:AF52" si="75">H42*0.27</f>
        <v>2925.7420363199999</v>
      </c>
      <c r="AG42" s="373">
        <f t="shared" si="49"/>
        <v>7836.4520410143996</v>
      </c>
      <c r="AH42" s="373">
        <f t="shared" si="50"/>
        <v>86688.652927999996</v>
      </c>
      <c r="AI42" s="377">
        <f>(AH42-88000)*0.35+(88000-AE42)*0.27</f>
        <v>2820.8342705599989</v>
      </c>
      <c r="AJ42" s="373">
        <f t="shared" si="51"/>
        <v>7941.3598067744006</v>
      </c>
      <c r="AK42" s="373">
        <f t="shared" si="52"/>
        <v>97524.734543999992</v>
      </c>
      <c r="AL42" s="377">
        <f>H42*0.35</f>
        <v>3792.6285655999995</v>
      </c>
      <c r="AM42" s="373">
        <f t="shared" si="53"/>
        <v>6969.5655117343995</v>
      </c>
      <c r="AN42" s="373">
        <f t="shared" si="54"/>
        <v>108360.81615999999</v>
      </c>
      <c r="AO42" s="377">
        <f>H42*0.35</f>
        <v>3792.6285655999995</v>
      </c>
      <c r="AP42" s="373">
        <f t="shared" si="68"/>
        <v>9352.5368537344002</v>
      </c>
      <c r="AQ42" s="373">
        <f t="shared" si="56"/>
        <v>119196.897776</v>
      </c>
      <c r="AR42" s="377">
        <f t="shared" si="71"/>
        <v>3792.6285655999995</v>
      </c>
      <c r="AS42" s="373">
        <f t="shared" si="58"/>
        <v>6969.5655117343995</v>
      </c>
      <c r="AT42" s="373">
        <f t="shared" si="59"/>
        <v>130032.97939199999</v>
      </c>
      <c r="AU42" s="377">
        <f t="shared" si="72"/>
        <v>3792.6285655999995</v>
      </c>
      <c r="AV42" s="373">
        <f t="shared" si="61"/>
        <v>6969.5655117343995</v>
      </c>
      <c r="AW42" s="292"/>
    </row>
    <row r="43" spans="1:49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33"/>
        <v>19984.079999999998</v>
      </c>
      <c r="G43" s="233">
        <v>359</v>
      </c>
      <c r="H43" s="353">
        <f t="shared" si="62"/>
        <v>9427.2039760000007</v>
      </c>
      <c r="I43" s="363">
        <v>0.34</v>
      </c>
      <c r="J43" s="362">
        <v>7000</v>
      </c>
      <c r="K43" s="361">
        <f t="shared" si="11"/>
        <v>7033.7145573850676</v>
      </c>
      <c r="L43" s="372">
        <f t="shared" si="12"/>
        <v>64.588946241599999</v>
      </c>
      <c r="M43" s="373">
        <f t="shared" si="13"/>
        <v>9427.2039760000007</v>
      </c>
      <c r="N43" s="378">
        <f t="shared" ref="N43:N54" si="76">M43*0.15</f>
        <v>1414.0805964000001</v>
      </c>
      <c r="O43" s="373">
        <f t="shared" si="35"/>
        <v>7948.5344333584007</v>
      </c>
      <c r="P43" s="373">
        <f t="shared" si="14"/>
        <v>18854.407952000001</v>
      </c>
      <c r="Q43" s="374">
        <f t="shared" ref="Q43:Q51" si="77">(P43-10000)*0.2+(10000-M43)*0.15</f>
        <v>1856.8009940000002</v>
      </c>
      <c r="R43" s="373">
        <f t="shared" si="36"/>
        <v>7505.8140357584007</v>
      </c>
      <c r="S43" s="373">
        <f t="shared" si="37"/>
        <v>28281.611928000002</v>
      </c>
      <c r="T43" s="376">
        <f t="shared" si="73"/>
        <v>2115.1536301600004</v>
      </c>
      <c r="U43" s="373">
        <f t="shared" si="39"/>
        <v>7247.4613995984</v>
      </c>
      <c r="V43" s="373">
        <f t="shared" si="40"/>
        <v>37708.815904000003</v>
      </c>
      <c r="W43" s="376">
        <f t="shared" si="70"/>
        <v>2545.3450735200004</v>
      </c>
      <c r="X43" s="373">
        <f t="shared" si="42"/>
        <v>6817.2699562384005</v>
      </c>
      <c r="Y43" s="373">
        <f t="shared" si="43"/>
        <v>47136.019880000007</v>
      </c>
      <c r="Z43" s="376">
        <f t="shared" si="44"/>
        <v>2545.3450735200004</v>
      </c>
      <c r="AA43" s="373">
        <f t="shared" si="45"/>
        <v>6817.2699562384005</v>
      </c>
      <c r="AB43" s="373">
        <f t="shared" si="46"/>
        <v>56563.223856000004</v>
      </c>
      <c r="AC43" s="376">
        <f t="shared" si="74"/>
        <v>2545.3450735200004</v>
      </c>
      <c r="AD43" s="373">
        <f t="shared" si="47"/>
        <v>6817.2699562384005</v>
      </c>
      <c r="AE43" s="373">
        <f t="shared" si="48"/>
        <v>65990.427832000001</v>
      </c>
      <c r="AF43" s="376">
        <f t="shared" si="75"/>
        <v>2545.3450735200004</v>
      </c>
      <c r="AG43" s="373">
        <f t="shared" si="49"/>
        <v>6817.2699562384005</v>
      </c>
      <c r="AH43" s="373">
        <f t="shared" si="50"/>
        <v>75417.631808000006</v>
      </c>
      <c r="AI43" s="376">
        <f t="shared" ref="AI43:AI54" si="78">H43*0.27</f>
        <v>2545.3450735200004</v>
      </c>
      <c r="AJ43" s="373">
        <f t="shared" si="51"/>
        <v>6817.2699562384005</v>
      </c>
      <c r="AK43" s="373">
        <f t="shared" si="52"/>
        <v>84844.83578400001</v>
      </c>
      <c r="AL43" s="376">
        <f>H43*0.27</f>
        <v>2545.3450735200004</v>
      </c>
      <c r="AM43" s="373">
        <f>H43-L43-AL43</f>
        <v>6817.2699562384005</v>
      </c>
      <c r="AN43" s="373">
        <f t="shared" si="54"/>
        <v>94272.039760000014</v>
      </c>
      <c r="AO43" s="377">
        <f>(AN43-88000)*0.35+(88000-AK43)*0.27</f>
        <v>3047.1082543200018</v>
      </c>
      <c r="AP43" s="373">
        <f t="shared" si="68"/>
        <v>7952.9578061584007</v>
      </c>
      <c r="AQ43" s="373">
        <f t="shared" si="56"/>
        <v>103699.243736</v>
      </c>
      <c r="AR43" s="377">
        <f t="shared" si="71"/>
        <v>3299.5213916000002</v>
      </c>
      <c r="AS43" s="373">
        <f t="shared" si="58"/>
        <v>6063.0936381584006</v>
      </c>
      <c r="AT43" s="373">
        <f t="shared" si="59"/>
        <v>113126.44771200001</v>
      </c>
      <c r="AU43" s="377">
        <f t="shared" si="72"/>
        <v>3299.5213916000002</v>
      </c>
      <c r="AV43" s="373">
        <f t="shared" si="61"/>
        <v>6063.0936381584006</v>
      </c>
      <c r="AW43" s="292"/>
    </row>
    <row r="44" spans="1:49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33"/>
        <v>19984.079999999998</v>
      </c>
      <c r="G44" s="233">
        <v>359</v>
      </c>
      <c r="H44" s="353">
        <f t="shared" si="62"/>
        <v>9004.5406839999996</v>
      </c>
      <c r="I44" s="363">
        <v>0.31</v>
      </c>
      <c r="J44" s="362">
        <v>6700</v>
      </c>
      <c r="K44" s="361">
        <f t="shared" si="11"/>
        <v>6724.0855184422662</v>
      </c>
      <c r="L44" s="372">
        <f t="shared" si="12"/>
        <v>61.799368514399994</v>
      </c>
      <c r="M44" s="373">
        <f t="shared" si="13"/>
        <v>9004.5406839999996</v>
      </c>
      <c r="N44" s="378">
        <f t="shared" si="76"/>
        <v>1350.6811025999998</v>
      </c>
      <c r="O44" s="373">
        <f t="shared" si="35"/>
        <v>7592.0602128856008</v>
      </c>
      <c r="P44" s="373">
        <f t="shared" si="14"/>
        <v>18009.081367999999</v>
      </c>
      <c r="Q44" s="374">
        <f t="shared" si="77"/>
        <v>1751.1351709999999</v>
      </c>
      <c r="R44" s="373">
        <f t="shared" si="36"/>
        <v>7191.6061444856005</v>
      </c>
      <c r="S44" s="373">
        <f t="shared" si="37"/>
        <v>27013.622051999999</v>
      </c>
      <c r="T44" s="376">
        <f t="shared" si="73"/>
        <v>1941.8616804399999</v>
      </c>
      <c r="U44" s="373">
        <f t="shared" si="39"/>
        <v>7000.8796350456005</v>
      </c>
      <c r="V44" s="373">
        <f t="shared" si="40"/>
        <v>36018.162735999998</v>
      </c>
      <c r="W44" s="376">
        <f t="shared" si="70"/>
        <v>2431.2259846800002</v>
      </c>
      <c r="X44" s="373">
        <f t="shared" si="42"/>
        <v>6511.5153308055997</v>
      </c>
      <c r="Y44" s="373">
        <f t="shared" si="43"/>
        <v>45022.703419999998</v>
      </c>
      <c r="Z44" s="376">
        <f t="shared" si="44"/>
        <v>2431.2259846800002</v>
      </c>
      <c r="AA44" s="373">
        <f t="shared" si="45"/>
        <v>6511.5153308055997</v>
      </c>
      <c r="AB44" s="373">
        <f t="shared" si="46"/>
        <v>54027.244103999998</v>
      </c>
      <c r="AC44" s="376">
        <f t="shared" si="74"/>
        <v>2431.2259846800002</v>
      </c>
      <c r="AD44" s="373">
        <f t="shared" si="47"/>
        <v>6511.5153308055997</v>
      </c>
      <c r="AE44" s="373">
        <f t="shared" si="48"/>
        <v>63031.784787999997</v>
      </c>
      <c r="AF44" s="376">
        <f t="shared" si="75"/>
        <v>2431.2259846800002</v>
      </c>
      <c r="AG44" s="373">
        <f t="shared" si="49"/>
        <v>6511.5153308055997</v>
      </c>
      <c r="AH44" s="373">
        <f t="shared" si="50"/>
        <v>72036.325471999997</v>
      </c>
      <c r="AI44" s="376">
        <f t="shared" si="78"/>
        <v>2431.2259846800002</v>
      </c>
      <c r="AJ44" s="373">
        <f t="shared" si="51"/>
        <v>6511.5153308055997</v>
      </c>
      <c r="AK44" s="373">
        <f t="shared" si="52"/>
        <v>81040.866156000004</v>
      </c>
      <c r="AL44" s="376">
        <f>H44*0.27</f>
        <v>2431.2259846800002</v>
      </c>
      <c r="AM44" s="373">
        <f>H44-L44-AL44</f>
        <v>6511.5153308055997</v>
      </c>
      <c r="AN44" s="373">
        <f t="shared" si="54"/>
        <v>90045.406839999996</v>
      </c>
      <c r="AO44" s="377">
        <f>(AN44-88000)*0.35+(88000-AK44)*0.27</f>
        <v>2594.8585318799978</v>
      </c>
      <c r="AP44" s="373">
        <f t="shared" si="68"/>
        <v>7533.0840918856002</v>
      </c>
      <c r="AQ44" s="373">
        <f t="shared" si="56"/>
        <v>99049.947523999988</v>
      </c>
      <c r="AR44" s="377">
        <f t="shared" si="71"/>
        <v>3151.5892393999998</v>
      </c>
      <c r="AS44" s="373">
        <f t="shared" si="58"/>
        <v>5791.1520760856001</v>
      </c>
      <c r="AT44" s="373">
        <f t="shared" si="59"/>
        <v>108054.488208</v>
      </c>
      <c r="AU44" s="377">
        <f t="shared" si="72"/>
        <v>3151.5892393999998</v>
      </c>
      <c r="AV44" s="373">
        <f t="shared" si="61"/>
        <v>5791.1520760856001</v>
      </c>
      <c r="AW44" s="292"/>
    </row>
    <row r="45" spans="1:49" ht="28.5" x14ac:dyDescent="0.45">
      <c r="A45" s="716"/>
      <c r="B45" s="387" t="s">
        <v>226</v>
      </c>
      <c r="C45" s="231">
        <v>200</v>
      </c>
      <c r="D45" s="234">
        <v>4996.0199999999995</v>
      </c>
      <c r="E45" s="234">
        <v>6661.36</v>
      </c>
      <c r="F45" s="234">
        <f t="shared" si="33"/>
        <v>11657.38</v>
      </c>
      <c r="G45" s="233">
        <v>359</v>
      </c>
      <c r="H45" s="353">
        <f t="shared" si="62"/>
        <v>9208.0452320000004</v>
      </c>
      <c r="I45" s="363">
        <v>0.73</v>
      </c>
      <c r="J45" s="362">
        <v>6800</v>
      </c>
      <c r="K45" s="361">
        <f t="shared" si="11"/>
        <v>6873.1661668221341</v>
      </c>
      <c r="L45" s="372">
        <f t="shared" si="12"/>
        <v>63.142498531200005</v>
      </c>
      <c r="M45" s="373">
        <f t="shared" si="13"/>
        <v>9208.0452320000004</v>
      </c>
      <c r="N45" s="378">
        <f t="shared" si="76"/>
        <v>1381.2067847999999</v>
      </c>
      <c r="O45" s="373">
        <f t="shared" si="35"/>
        <v>7763.6959486688002</v>
      </c>
      <c r="P45" s="373">
        <f t="shared" si="14"/>
        <v>18416.090464000001</v>
      </c>
      <c r="Q45" s="374">
        <f t="shared" si="77"/>
        <v>1802.0113080000001</v>
      </c>
      <c r="R45" s="373">
        <f t="shared" si="36"/>
        <v>7342.8914254687998</v>
      </c>
      <c r="S45" s="373">
        <f t="shared" si="37"/>
        <v>27624.135696000001</v>
      </c>
      <c r="T45" s="376">
        <f t="shared" si="73"/>
        <v>2025.2985451200002</v>
      </c>
      <c r="U45" s="373">
        <f t="shared" si="39"/>
        <v>7119.6041883487997</v>
      </c>
      <c r="V45" s="373">
        <f t="shared" si="40"/>
        <v>36832.180928000002</v>
      </c>
      <c r="W45" s="376">
        <f t="shared" si="70"/>
        <v>2486.1722126400005</v>
      </c>
      <c r="X45" s="373">
        <f t="shared" si="42"/>
        <v>6658.7305208287999</v>
      </c>
      <c r="Y45" s="373">
        <f t="shared" si="43"/>
        <v>46040.226160000006</v>
      </c>
      <c r="Z45" s="376">
        <f t="shared" si="44"/>
        <v>2486.1722126400005</v>
      </c>
      <c r="AA45" s="373">
        <f t="shared" si="45"/>
        <v>6658.7305208287999</v>
      </c>
      <c r="AB45" s="373">
        <f t="shared" si="46"/>
        <v>55248.271392000002</v>
      </c>
      <c r="AC45" s="376">
        <f t="shared" si="74"/>
        <v>2486.1722126400005</v>
      </c>
      <c r="AD45" s="373">
        <f t="shared" si="47"/>
        <v>6658.7305208287999</v>
      </c>
      <c r="AE45" s="373">
        <f t="shared" si="48"/>
        <v>64456.316623999999</v>
      </c>
      <c r="AF45" s="376">
        <f t="shared" si="75"/>
        <v>2486.1722126400005</v>
      </c>
      <c r="AG45" s="373">
        <f t="shared" si="49"/>
        <v>6658.7305208287999</v>
      </c>
      <c r="AH45" s="373">
        <f t="shared" si="50"/>
        <v>73664.361856000003</v>
      </c>
      <c r="AI45" s="376">
        <f t="shared" si="78"/>
        <v>2486.1722126400005</v>
      </c>
      <c r="AJ45" s="373">
        <f t="shared" si="51"/>
        <v>6658.7305208287999</v>
      </c>
      <c r="AK45" s="373">
        <f t="shared" si="52"/>
        <v>82872.407088000007</v>
      </c>
      <c r="AL45" s="376">
        <f>H45*0.27</f>
        <v>2486.1722126400005</v>
      </c>
      <c r="AM45" s="373">
        <f t="shared" si="53"/>
        <v>6658.7305208287999</v>
      </c>
      <c r="AN45" s="373">
        <f t="shared" si="54"/>
        <v>92080.452320000011</v>
      </c>
      <c r="AO45" s="377">
        <f>(AN45-88000)*0.35+(88000-AK45)*0.27</f>
        <v>2812.6083982400023</v>
      </c>
      <c r="AP45" s="373">
        <f t="shared" si="68"/>
        <v>7735.2455098687997</v>
      </c>
      <c r="AQ45" s="373">
        <f t="shared" si="56"/>
        <v>101288.497552</v>
      </c>
      <c r="AR45" s="377">
        <f t="shared" si="71"/>
        <v>3222.8158312</v>
      </c>
      <c r="AS45" s="373">
        <f t="shared" si="58"/>
        <v>5922.0869022688003</v>
      </c>
      <c r="AT45" s="373">
        <f t="shared" si="59"/>
        <v>110496.542784</v>
      </c>
      <c r="AU45" s="377">
        <f t="shared" si="72"/>
        <v>3222.8158312</v>
      </c>
      <c r="AV45" s="373">
        <f t="shared" si="61"/>
        <v>5922.0869022688003</v>
      </c>
      <c r="AW45" s="292"/>
    </row>
    <row r="46" spans="1:49" ht="28.5" x14ac:dyDescent="0.45">
      <c r="A46" s="716"/>
      <c r="B46" s="387" t="s">
        <v>227</v>
      </c>
      <c r="C46" s="231">
        <v>200</v>
      </c>
      <c r="D46" s="234">
        <v>4996.0199999999995</v>
      </c>
      <c r="E46" s="234">
        <v>6661.36</v>
      </c>
      <c r="F46" s="234">
        <f t="shared" si="33"/>
        <v>11657.38</v>
      </c>
      <c r="G46" s="233">
        <v>359</v>
      </c>
      <c r="H46" s="353">
        <f t="shared" si="62"/>
        <v>8080.9431199999999</v>
      </c>
      <c r="I46" s="363">
        <v>0.55000000000000004</v>
      </c>
      <c r="J46" s="362">
        <v>6000</v>
      </c>
      <c r="K46" s="361">
        <f t="shared" si="11"/>
        <v>6089.4900261746661</v>
      </c>
      <c r="L46" s="372">
        <f t="shared" si="12"/>
        <v>55.703624591999997</v>
      </c>
      <c r="M46" s="373">
        <f t="shared" si="13"/>
        <v>8080.9431199999999</v>
      </c>
      <c r="N46" s="378">
        <f t="shared" si="76"/>
        <v>1212.141468</v>
      </c>
      <c r="O46" s="373">
        <f t="shared" si="35"/>
        <v>6813.0980274080002</v>
      </c>
      <c r="P46" s="373">
        <f t="shared" si="14"/>
        <v>16161.88624</v>
      </c>
      <c r="Q46" s="374">
        <f t="shared" si="77"/>
        <v>1520.23578</v>
      </c>
      <c r="R46" s="373">
        <f t="shared" si="36"/>
        <v>6505.0037154080001</v>
      </c>
      <c r="S46" s="373">
        <f t="shared" si="37"/>
        <v>24242.82936</v>
      </c>
      <c r="T46" s="374">
        <f>H46*0.2</f>
        <v>1616.1886240000001</v>
      </c>
      <c r="U46" s="373">
        <f t="shared" si="39"/>
        <v>6409.0508714079997</v>
      </c>
      <c r="V46" s="373">
        <f t="shared" si="40"/>
        <v>32323.77248</v>
      </c>
      <c r="W46" s="376">
        <f>(V46-25000)*0.27+(25000-S46)*0.2</f>
        <v>2128.8526975999998</v>
      </c>
      <c r="X46" s="373">
        <f t="shared" si="42"/>
        <v>5896.3867978079998</v>
      </c>
      <c r="Y46" s="373">
        <f t="shared" si="43"/>
        <v>40404.715599999996</v>
      </c>
      <c r="Z46" s="376">
        <f t="shared" si="44"/>
        <v>2181.8546424000001</v>
      </c>
      <c r="AA46" s="373">
        <f t="shared" si="45"/>
        <v>5843.3848530079995</v>
      </c>
      <c r="AB46" s="373">
        <f t="shared" si="46"/>
        <v>48485.658719999999</v>
      </c>
      <c r="AC46" s="376">
        <f t="shared" si="74"/>
        <v>2181.8546424000001</v>
      </c>
      <c r="AD46" s="373">
        <f t="shared" si="47"/>
        <v>5843.3848530079995</v>
      </c>
      <c r="AE46" s="373">
        <f t="shared" si="48"/>
        <v>56566.601840000003</v>
      </c>
      <c r="AF46" s="376">
        <f t="shared" si="75"/>
        <v>2181.8546424000001</v>
      </c>
      <c r="AG46" s="373">
        <f t="shared" si="49"/>
        <v>5843.3848530079995</v>
      </c>
      <c r="AH46" s="373">
        <f t="shared" si="50"/>
        <v>64647.544959999999</v>
      </c>
      <c r="AI46" s="376">
        <f t="shared" si="78"/>
        <v>2181.8546424000001</v>
      </c>
      <c r="AJ46" s="373">
        <f t="shared" si="51"/>
        <v>5843.3848530079995</v>
      </c>
      <c r="AK46" s="373">
        <f t="shared" si="52"/>
        <v>72728.488079999996</v>
      </c>
      <c r="AL46" s="376">
        <f>H46*0.27</f>
        <v>2181.8546424000001</v>
      </c>
      <c r="AM46" s="373">
        <f t="shared" si="53"/>
        <v>5843.3848530079995</v>
      </c>
      <c r="AN46" s="373">
        <f t="shared" si="54"/>
        <v>80809.431199999992</v>
      </c>
      <c r="AO46" s="376">
        <f>H46*0.27</f>
        <v>2181.8546424000001</v>
      </c>
      <c r="AP46" s="373">
        <f t="shared" si="68"/>
        <v>6615.5822718079999</v>
      </c>
      <c r="AQ46" s="373">
        <f t="shared" si="56"/>
        <v>88890.374320000003</v>
      </c>
      <c r="AR46" s="377">
        <f>(AQ46-88000)*0.35+(88000-AN46)*0.27</f>
        <v>2253.0845880000034</v>
      </c>
      <c r="AS46" s="373">
        <f t="shared" si="58"/>
        <v>5772.1549074079967</v>
      </c>
      <c r="AT46" s="373">
        <f t="shared" si="59"/>
        <v>96971.317439999999</v>
      </c>
      <c r="AU46" s="377">
        <f>(AT46-88000)*0.35+(88000-AQ46)*0.27</f>
        <v>2899.5600375999989</v>
      </c>
      <c r="AV46" s="373">
        <f t="shared" si="61"/>
        <v>5125.6794578080007</v>
      </c>
      <c r="AW46" s="292"/>
    </row>
    <row r="47" spans="1:49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33"/>
        <v>13988.856</v>
      </c>
      <c r="G47" s="233">
        <v>359</v>
      </c>
      <c r="H47" s="353">
        <f t="shared" si="62"/>
        <v>9878.044820799998</v>
      </c>
      <c r="I47" s="363">
        <v>0.62</v>
      </c>
      <c r="J47" s="362">
        <v>7351</v>
      </c>
      <c r="K47" s="361">
        <f t="shared" si="11"/>
        <v>7357.9695096760524</v>
      </c>
      <c r="L47" s="372">
        <f t="shared" si="12"/>
        <v>67.56449581727999</v>
      </c>
      <c r="M47" s="373">
        <f t="shared" si="13"/>
        <v>9878.044820799998</v>
      </c>
      <c r="N47" s="378">
        <f t="shared" si="76"/>
        <v>1481.7067231199997</v>
      </c>
      <c r="O47" s="373">
        <f t="shared" si="35"/>
        <v>8328.7736018627184</v>
      </c>
      <c r="P47" s="373">
        <f t="shared" si="14"/>
        <v>19756.089641599996</v>
      </c>
      <c r="Q47" s="374">
        <f t="shared" si="77"/>
        <v>1969.5112051999997</v>
      </c>
      <c r="R47" s="373">
        <f t="shared" si="36"/>
        <v>7840.9691197827187</v>
      </c>
      <c r="S47" s="373">
        <f t="shared" si="37"/>
        <v>29634.134462399994</v>
      </c>
      <c r="T47" s="376">
        <f>(S47-25000)*0.27+(25000-P47)*0.2</f>
        <v>2299.9983765279994</v>
      </c>
      <c r="U47" s="373">
        <f t="shared" si="39"/>
        <v>7510.4819484547188</v>
      </c>
      <c r="V47" s="373">
        <f t="shared" si="40"/>
        <v>39512.179283199992</v>
      </c>
      <c r="W47" s="376">
        <f>H47*0.27</f>
        <v>2667.0721016159996</v>
      </c>
      <c r="X47" s="373">
        <f t="shared" si="42"/>
        <v>7143.4082233667186</v>
      </c>
      <c r="Y47" s="373">
        <f t="shared" si="43"/>
        <v>49390.224103999994</v>
      </c>
      <c r="Z47" s="376">
        <f t="shared" si="44"/>
        <v>2667.0721016159996</v>
      </c>
      <c r="AA47" s="373">
        <f t="shared" si="45"/>
        <v>7143.4082233667186</v>
      </c>
      <c r="AB47" s="373">
        <f t="shared" si="46"/>
        <v>59268.268924799988</v>
      </c>
      <c r="AC47" s="376">
        <f t="shared" si="74"/>
        <v>2667.0721016159996</v>
      </c>
      <c r="AD47" s="373">
        <f t="shared" si="47"/>
        <v>7143.4082233667186</v>
      </c>
      <c r="AE47" s="373">
        <f t="shared" si="48"/>
        <v>69146.313745599982</v>
      </c>
      <c r="AF47" s="376">
        <f t="shared" si="75"/>
        <v>2667.0721016159996</v>
      </c>
      <c r="AG47" s="373">
        <f t="shared" si="49"/>
        <v>7143.4082233667186</v>
      </c>
      <c r="AH47" s="373">
        <f t="shared" si="50"/>
        <v>79024.358566399984</v>
      </c>
      <c r="AI47" s="376">
        <f t="shared" si="78"/>
        <v>2667.0721016159996</v>
      </c>
      <c r="AJ47" s="373">
        <f t="shared" si="51"/>
        <v>7143.4082233667186</v>
      </c>
      <c r="AK47" s="373">
        <f t="shared" si="52"/>
        <v>88902.403387199985</v>
      </c>
      <c r="AL47" s="377">
        <f>(AK47-88000)*0.35+(88000-AH47)*0.27</f>
        <v>2739.2643725919993</v>
      </c>
      <c r="AM47" s="373">
        <f t="shared" si="53"/>
        <v>7071.2159523907194</v>
      </c>
      <c r="AN47" s="373">
        <f t="shared" si="54"/>
        <v>98780.448207999987</v>
      </c>
      <c r="AO47" s="377">
        <f>H47*0.35</f>
        <v>3457.3156872799991</v>
      </c>
      <c r="AP47" s="373">
        <f t="shared" si="68"/>
        <v>8400.8231013827171</v>
      </c>
      <c r="AQ47" s="373">
        <f t="shared" si="56"/>
        <v>108658.49302879997</v>
      </c>
      <c r="AR47" s="377">
        <f>H47*0.35</f>
        <v>3457.3156872799991</v>
      </c>
      <c r="AS47" s="373">
        <f t="shared" si="58"/>
        <v>6353.1646377027191</v>
      </c>
      <c r="AT47" s="373">
        <f t="shared" si="59"/>
        <v>118536.53784959998</v>
      </c>
      <c r="AU47" s="377">
        <f>H47*0.35</f>
        <v>3457.3156872799991</v>
      </c>
      <c r="AV47" s="373">
        <f t="shared" si="61"/>
        <v>6353.1646377027191</v>
      </c>
      <c r="AW47" s="292"/>
    </row>
    <row r="48" spans="1:49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33"/>
        <v>13988.856</v>
      </c>
      <c r="G48" s="233">
        <v>359</v>
      </c>
      <c r="H48" s="353">
        <f t="shared" si="62"/>
        <v>8102.8589943999978</v>
      </c>
      <c r="I48" s="363">
        <v>0.41</v>
      </c>
      <c r="J48" s="362">
        <v>6000</v>
      </c>
      <c r="K48" s="361">
        <f t="shared" si="11"/>
        <v>6110.0196357376253</v>
      </c>
      <c r="L48" s="372">
        <f t="shared" si="12"/>
        <v>55.848269363039982</v>
      </c>
      <c r="M48" s="373">
        <f t="shared" si="13"/>
        <v>8102.8589943999978</v>
      </c>
      <c r="N48" s="378">
        <f t="shared" si="76"/>
        <v>1215.4288491599996</v>
      </c>
      <c r="O48" s="373">
        <f t="shared" si="35"/>
        <v>6831.5818758769583</v>
      </c>
      <c r="P48" s="373">
        <f t="shared" si="14"/>
        <v>16205.717988799996</v>
      </c>
      <c r="Q48" s="374">
        <f t="shared" si="77"/>
        <v>1525.7147485999994</v>
      </c>
      <c r="R48" s="373">
        <f t="shared" si="36"/>
        <v>6521.295976436958</v>
      </c>
      <c r="S48" s="373">
        <f t="shared" si="37"/>
        <v>24308.576983199993</v>
      </c>
      <c r="T48" s="374">
        <f>H48*0.2</f>
        <v>1620.5717988799997</v>
      </c>
      <c r="U48" s="373">
        <f t="shared" si="39"/>
        <v>6426.4389261569577</v>
      </c>
      <c r="V48" s="373">
        <f t="shared" si="40"/>
        <v>32411.435977599991</v>
      </c>
      <c r="W48" s="376">
        <f>(V48-25000)*0.27+(25000-S48)*0.2</f>
        <v>2139.3723173119993</v>
      </c>
      <c r="X48" s="373">
        <f t="shared" si="42"/>
        <v>5907.6384077249586</v>
      </c>
      <c r="Y48" s="373">
        <f t="shared" si="43"/>
        <v>40514.294971999989</v>
      </c>
      <c r="Z48" s="376">
        <f t="shared" si="44"/>
        <v>2187.7719284879995</v>
      </c>
      <c r="AA48" s="373">
        <f t="shared" si="45"/>
        <v>5859.2387965489579</v>
      </c>
      <c r="AB48" s="373">
        <f t="shared" si="46"/>
        <v>48617.153966399987</v>
      </c>
      <c r="AC48" s="376">
        <f t="shared" si="74"/>
        <v>2187.7719284879995</v>
      </c>
      <c r="AD48" s="373">
        <f t="shared" si="47"/>
        <v>5859.2387965489579</v>
      </c>
      <c r="AE48" s="373">
        <f t="shared" si="48"/>
        <v>56720.012960799984</v>
      </c>
      <c r="AF48" s="376">
        <f t="shared" si="75"/>
        <v>2187.7719284879995</v>
      </c>
      <c r="AG48" s="373">
        <f t="shared" si="49"/>
        <v>5859.2387965489579</v>
      </c>
      <c r="AH48" s="373">
        <f t="shared" si="50"/>
        <v>64822.871955199982</v>
      </c>
      <c r="AI48" s="376">
        <f t="shared" si="78"/>
        <v>2187.7719284879995</v>
      </c>
      <c r="AJ48" s="373">
        <f t="shared" si="51"/>
        <v>5859.2387965489579</v>
      </c>
      <c r="AK48" s="373">
        <f t="shared" si="52"/>
        <v>72925.73094959998</v>
      </c>
      <c r="AL48" s="376">
        <f t="shared" ref="AL48:AL54" si="79">H48*0.27</f>
        <v>2187.7719284879995</v>
      </c>
      <c r="AM48" s="373">
        <f t="shared" si="53"/>
        <v>5859.2387965489579</v>
      </c>
      <c r="AN48" s="373">
        <f t="shared" si="54"/>
        <v>81028.589943999978</v>
      </c>
      <c r="AO48" s="376">
        <f>H48*0.27</f>
        <v>2187.7719284879995</v>
      </c>
      <c r="AP48" s="373">
        <f t="shared" si="68"/>
        <v>6637.3535014369572</v>
      </c>
      <c r="AQ48" s="373">
        <f t="shared" si="56"/>
        <v>89131.448938399975</v>
      </c>
      <c r="AR48" s="377">
        <f>(AQ48-88000)*0.35+(88000-AN48)*0.27</f>
        <v>2278.2878435599973</v>
      </c>
      <c r="AS48" s="373">
        <f t="shared" si="58"/>
        <v>5768.7228814769605</v>
      </c>
      <c r="AT48" s="373">
        <f t="shared" si="59"/>
        <v>97234.307932799973</v>
      </c>
      <c r="AU48" s="377">
        <f>H48*0.35</f>
        <v>2836.0006480399989</v>
      </c>
      <c r="AV48" s="373">
        <f t="shared" si="61"/>
        <v>5211.0100769969586</v>
      </c>
      <c r="AW48" s="292"/>
    </row>
    <row r="49" spans="1:49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33"/>
        <v>10991.243999999999</v>
      </c>
      <c r="G49" s="233">
        <v>359</v>
      </c>
      <c r="H49" s="353">
        <f t="shared" si="62"/>
        <v>8131.0365471999994</v>
      </c>
      <c r="I49" s="363">
        <v>0.62</v>
      </c>
      <c r="J49" s="362">
        <v>6100</v>
      </c>
      <c r="K49" s="361">
        <f t="shared" si="11"/>
        <v>6128.783068147146</v>
      </c>
      <c r="L49" s="372">
        <f t="shared" si="12"/>
        <v>56.034241211519998</v>
      </c>
      <c r="M49" s="373">
        <f t="shared" si="13"/>
        <v>8131.0365471999994</v>
      </c>
      <c r="N49" s="378">
        <f t="shared" si="76"/>
        <v>1219.65548208</v>
      </c>
      <c r="O49" s="373">
        <f t="shared" si="35"/>
        <v>6855.3468239084796</v>
      </c>
      <c r="P49" s="373">
        <f t="shared" si="14"/>
        <v>16262.073094399999</v>
      </c>
      <c r="Q49" s="374">
        <f t="shared" si="77"/>
        <v>1532.7591367999999</v>
      </c>
      <c r="R49" s="373">
        <f t="shared" si="36"/>
        <v>6542.2431691884794</v>
      </c>
      <c r="S49" s="373">
        <f t="shared" si="37"/>
        <v>24393.1096416</v>
      </c>
      <c r="T49" s="374">
        <f>H49*0.2</f>
        <v>1626.20730944</v>
      </c>
      <c r="U49" s="373">
        <f t="shared" si="39"/>
        <v>6448.7949965484795</v>
      </c>
      <c r="V49" s="373">
        <f t="shared" si="40"/>
        <v>32524.146188799998</v>
      </c>
      <c r="W49" s="376">
        <f>(V49-25000)*0.27+(25000-S49)*0.2</f>
        <v>2152.8975426559996</v>
      </c>
      <c r="X49" s="373">
        <f t="shared" si="42"/>
        <v>5922.1047633324797</v>
      </c>
      <c r="Y49" s="373">
        <f t="shared" si="43"/>
        <v>40655.182735999995</v>
      </c>
      <c r="Z49" s="376">
        <f t="shared" si="44"/>
        <v>2195.379867744</v>
      </c>
      <c r="AA49" s="373">
        <f t="shared" si="45"/>
        <v>5879.6224382444798</v>
      </c>
      <c r="AB49" s="373">
        <f t="shared" si="46"/>
        <v>48786.2192832</v>
      </c>
      <c r="AC49" s="376">
        <f t="shared" si="74"/>
        <v>2195.379867744</v>
      </c>
      <c r="AD49" s="373">
        <f t="shared" si="47"/>
        <v>5879.6224382444798</v>
      </c>
      <c r="AE49" s="373">
        <f t="shared" si="48"/>
        <v>56917.255830399998</v>
      </c>
      <c r="AF49" s="376">
        <f t="shared" si="75"/>
        <v>2195.379867744</v>
      </c>
      <c r="AG49" s="373">
        <f t="shared" si="49"/>
        <v>5879.6224382444798</v>
      </c>
      <c r="AH49" s="373">
        <f t="shared" si="50"/>
        <v>65048.292377599995</v>
      </c>
      <c r="AI49" s="376">
        <f t="shared" si="78"/>
        <v>2195.379867744</v>
      </c>
      <c r="AJ49" s="373">
        <f t="shared" si="51"/>
        <v>5879.6224382444798</v>
      </c>
      <c r="AK49" s="373">
        <f t="shared" si="52"/>
        <v>73179.328924799993</v>
      </c>
      <c r="AL49" s="376">
        <f t="shared" si="79"/>
        <v>2195.379867744</v>
      </c>
      <c r="AM49" s="373">
        <f t="shared" si="53"/>
        <v>5879.6224382444798</v>
      </c>
      <c r="AN49" s="373">
        <f t="shared" si="54"/>
        <v>81310.36547199999</v>
      </c>
      <c r="AO49" s="376">
        <f>H49*0.27</f>
        <v>2195.379867744</v>
      </c>
      <c r="AP49" s="373">
        <f t="shared" si="68"/>
        <v>6665.3450823884796</v>
      </c>
      <c r="AQ49" s="373">
        <f t="shared" si="56"/>
        <v>89441.402019199988</v>
      </c>
      <c r="AR49" s="377">
        <f>(AQ49-88000)*0.35+(88000-AN49)*0.27</f>
        <v>2310.6920292799982</v>
      </c>
      <c r="AS49" s="373">
        <f t="shared" si="58"/>
        <v>5764.310276708482</v>
      </c>
      <c r="AT49" s="373">
        <f t="shared" si="59"/>
        <v>97572.4385664</v>
      </c>
      <c r="AU49" s="377">
        <f>H49*0.35</f>
        <v>2845.8627915199995</v>
      </c>
      <c r="AV49" s="373">
        <f t="shared" si="61"/>
        <v>5229.1395144684802</v>
      </c>
      <c r="AW49" s="292"/>
    </row>
    <row r="50" spans="1:49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33"/>
        <v>10991.243999999999</v>
      </c>
      <c r="G50" s="233">
        <v>359</v>
      </c>
      <c r="H50" s="353">
        <f t="shared" si="62"/>
        <v>7116.6446464000001</v>
      </c>
      <c r="I50" s="363">
        <v>0.44</v>
      </c>
      <c r="J50" s="362">
        <v>5400</v>
      </c>
      <c r="K50" s="361">
        <f t="shared" si="11"/>
        <v>5435.9644064497588</v>
      </c>
      <c r="L50" s="372">
        <f t="shared" si="12"/>
        <v>49.339254666240002</v>
      </c>
      <c r="M50" s="373">
        <f t="shared" si="13"/>
        <v>7116.6446464000001</v>
      </c>
      <c r="N50" s="378">
        <f t="shared" si="76"/>
        <v>1067.49669696</v>
      </c>
      <c r="O50" s="373">
        <f t="shared" si="35"/>
        <v>5999.8086947737602</v>
      </c>
      <c r="P50" s="373">
        <f t="shared" si="14"/>
        <v>14233.2892928</v>
      </c>
      <c r="Q50" s="374">
        <f t="shared" si="77"/>
        <v>1279.1611616</v>
      </c>
      <c r="R50" s="373">
        <f t="shared" si="36"/>
        <v>5788.1442301337602</v>
      </c>
      <c r="S50" s="373">
        <f t="shared" si="37"/>
        <v>21349.9339392</v>
      </c>
      <c r="T50" s="374">
        <f>H50*0.2</f>
        <v>1423.32892928</v>
      </c>
      <c r="U50" s="373">
        <f t="shared" si="39"/>
        <v>5643.9764624537602</v>
      </c>
      <c r="V50" s="373">
        <f t="shared" si="40"/>
        <v>28466.5785856</v>
      </c>
      <c r="W50" s="376">
        <f>(V50-25000)*0.27+(25000-S50)*0.2</f>
        <v>1665.9894302719999</v>
      </c>
      <c r="X50" s="373">
        <f t="shared" si="42"/>
        <v>5401.3159614617598</v>
      </c>
      <c r="Y50" s="373">
        <f t="shared" si="43"/>
        <v>35583.223232000004</v>
      </c>
      <c r="Z50" s="376">
        <f t="shared" si="44"/>
        <v>1921.4940545280001</v>
      </c>
      <c r="AA50" s="373">
        <f t="shared" si="45"/>
        <v>5145.8113372057596</v>
      </c>
      <c r="AB50" s="373">
        <f t="shared" si="46"/>
        <v>42699.8678784</v>
      </c>
      <c r="AC50" s="376">
        <f t="shared" si="74"/>
        <v>1921.4940545280001</v>
      </c>
      <c r="AD50" s="373">
        <f t="shared" si="47"/>
        <v>5145.8113372057596</v>
      </c>
      <c r="AE50" s="373">
        <f t="shared" si="48"/>
        <v>49816.512524799997</v>
      </c>
      <c r="AF50" s="376">
        <f t="shared" si="75"/>
        <v>1921.4940545280001</v>
      </c>
      <c r="AG50" s="373">
        <f t="shared" si="49"/>
        <v>5145.8113372057596</v>
      </c>
      <c r="AH50" s="373">
        <f t="shared" si="50"/>
        <v>56933.1571712</v>
      </c>
      <c r="AI50" s="376">
        <f t="shared" si="78"/>
        <v>1921.4940545280001</v>
      </c>
      <c r="AJ50" s="373">
        <f t="shared" si="51"/>
        <v>5145.8113372057596</v>
      </c>
      <c r="AK50" s="373">
        <f t="shared" si="52"/>
        <v>64049.801817600004</v>
      </c>
      <c r="AL50" s="376">
        <f t="shared" si="79"/>
        <v>1921.4940545280001</v>
      </c>
      <c r="AM50" s="373">
        <f t="shared" si="53"/>
        <v>5145.8113372057596</v>
      </c>
      <c r="AN50" s="373">
        <f t="shared" si="54"/>
        <v>71166.446464000008</v>
      </c>
      <c r="AO50" s="376">
        <f>H50*0.27</f>
        <v>1921.4940545280001</v>
      </c>
      <c r="AP50" s="373">
        <f t="shared" si="68"/>
        <v>5657.64816813376</v>
      </c>
      <c r="AQ50" s="373">
        <f t="shared" si="56"/>
        <v>78283.091110399997</v>
      </c>
      <c r="AR50" s="376">
        <f>H50*0.27</f>
        <v>1921.4940545280001</v>
      </c>
      <c r="AS50" s="373">
        <f t="shared" si="58"/>
        <v>5145.8113372057596</v>
      </c>
      <c r="AT50" s="373">
        <f t="shared" si="59"/>
        <v>85399.735756800001</v>
      </c>
      <c r="AU50" s="376">
        <f t="shared" ref="AU50:AU54" si="80">H50*0.27</f>
        <v>1921.4940545280001</v>
      </c>
      <c r="AV50" s="373">
        <f t="shared" si="61"/>
        <v>5145.8113372057596</v>
      </c>
      <c r="AW50" s="292"/>
    </row>
    <row r="51" spans="1:49" ht="28.5" x14ac:dyDescent="0.45">
      <c r="A51" s="718"/>
      <c r="B51" s="351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33"/>
        <v>10991.243999999999</v>
      </c>
      <c r="G51" s="233">
        <v>359</v>
      </c>
      <c r="H51" s="353">
        <f t="shared" si="62"/>
        <v>5087.8608447999995</v>
      </c>
      <c r="I51" s="363">
        <v>0.08</v>
      </c>
      <c r="J51" s="362">
        <v>3900</v>
      </c>
      <c r="K51" s="361">
        <f t="shared" si="11"/>
        <v>3922.6945688363194</v>
      </c>
      <c r="L51" s="372">
        <f t="shared" si="12"/>
        <v>35.949281575679997</v>
      </c>
      <c r="M51" s="373">
        <f t="shared" si="13"/>
        <v>5087.8608447999995</v>
      </c>
      <c r="N51" s="378">
        <f t="shared" si="76"/>
        <v>763.17912671999989</v>
      </c>
      <c r="O51" s="373">
        <f t="shared" si="35"/>
        <v>4288.7324365043196</v>
      </c>
      <c r="P51" s="373">
        <f t="shared" si="14"/>
        <v>10175.721689599999</v>
      </c>
      <c r="Q51" s="374">
        <f t="shared" si="77"/>
        <v>771.96521119999977</v>
      </c>
      <c r="R51" s="373">
        <f t="shared" si="36"/>
        <v>4279.9463520243198</v>
      </c>
      <c r="S51" s="373">
        <f t="shared" si="37"/>
        <v>15263.582534399999</v>
      </c>
      <c r="T51" s="374">
        <f>H51*0.2</f>
        <v>1017.57216896</v>
      </c>
      <c r="U51" s="373">
        <f t="shared" si="39"/>
        <v>4034.3393942643193</v>
      </c>
      <c r="V51" s="373">
        <f t="shared" si="40"/>
        <v>20351.443379199998</v>
      </c>
      <c r="W51" s="374">
        <f>H51*0.2</f>
        <v>1017.57216896</v>
      </c>
      <c r="X51" s="373">
        <f t="shared" si="42"/>
        <v>4034.3393942643193</v>
      </c>
      <c r="Y51" s="373">
        <f t="shared" si="43"/>
        <v>25439.304224</v>
      </c>
      <c r="Z51" s="376">
        <f>(Y51-25000)*0.27+(25000-V51)*0.2</f>
        <v>1048.3234646400003</v>
      </c>
      <c r="AA51" s="373">
        <f t="shared" si="45"/>
        <v>4003.5880985843187</v>
      </c>
      <c r="AB51" s="373">
        <f t="shared" si="46"/>
        <v>30527.165068799997</v>
      </c>
      <c r="AC51" s="376">
        <f t="shared" si="74"/>
        <v>1373.7224280959999</v>
      </c>
      <c r="AD51" s="373">
        <f t="shared" si="47"/>
        <v>3678.1891351283193</v>
      </c>
      <c r="AE51" s="373">
        <f t="shared" si="48"/>
        <v>35615.025913599995</v>
      </c>
      <c r="AF51" s="376">
        <f t="shared" si="75"/>
        <v>1373.7224280959999</v>
      </c>
      <c r="AG51" s="373">
        <f t="shared" si="49"/>
        <v>3678.1891351283193</v>
      </c>
      <c r="AH51" s="373">
        <f t="shared" si="50"/>
        <v>40702.886758399996</v>
      </c>
      <c r="AI51" s="376">
        <f t="shared" si="78"/>
        <v>1373.7224280959999</v>
      </c>
      <c r="AJ51" s="373">
        <f t="shared" si="51"/>
        <v>3678.1891351283193</v>
      </c>
      <c r="AK51" s="373">
        <f t="shared" si="52"/>
        <v>45790.747603199998</v>
      </c>
      <c r="AL51" s="376">
        <f t="shared" si="79"/>
        <v>1373.7224280959999</v>
      </c>
      <c r="AM51" s="373">
        <f t="shared" si="53"/>
        <v>3678.1891351283193</v>
      </c>
      <c r="AN51" s="373">
        <f t="shared" si="54"/>
        <v>50878.608447999999</v>
      </c>
      <c r="AO51" s="376">
        <f>H51*0.27</f>
        <v>1373.7224280959999</v>
      </c>
      <c r="AP51" s="373">
        <f t="shared" si="68"/>
        <v>3642.2543396243191</v>
      </c>
      <c r="AQ51" s="373">
        <f t="shared" si="56"/>
        <v>55966.469292799993</v>
      </c>
      <c r="AR51" s="376">
        <f>H51*0.27</f>
        <v>1373.7224280959999</v>
      </c>
      <c r="AS51" s="373">
        <f t="shared" si="58"/>
        <v>3678.1891351283193</v>
      </c>
      <c r="AT51" s="373">
        <f t="shared" si="59"/>
        <v>61054.330137599994</v>
      </c>
      <c r="AU51" s="376">
        <f t="shared" si="80"/>
        <v>1373.7224280959999</v>
      </c>
      <c r="AV51" s="373">
        <f t="shared" si="61"/>
        <v>3678.1891351283193</v>
      </c>
      <c r="AW51" s="292"/>
    </row>
    <row r="52" spans="1:49" ht="28.5" x14ac:dyDescent="0.45">
      <c r="A52" s="719"/>
      <c r="B52" s="350" t="s">
        <v>199</v>
      </c>
      <c r="C52" s="290">
        <v>125</v>
      </c>
      <c r="D52" s="238">
        <v>3331</v>
      </c>
      <c r="E52" s="238">
        <v>4163</v>
      </c>
      <c r="F52" s="238">
        <f t="shared" si="33"/>
        <v>7494</v>
      </c>
      <c r="G52" s="233">
        <v>359</v>
      </c>
      <c r="H52" s="353">
        <f t="shared" si="62"/>
        <v>4967.7421999999997</v>
      </c>
      <c r="I52" s="363">
        <v>0.51</v>
      </c>
      <c r="J52" s="362">
        <v>3800</v>
      </c>
      <c r="K52" s="361">
        <f t="shared" si="11"/>
        <v>3833.0980716800004</v>
      </c>
      <c r="L52" s="372">
        <f t="shared" si="12"/>
        <v>35.15649852</v>
      </c>
      <c r="M52" s="373">
        <f t="shared" si="13"/>
        <v>4967.7421999999997</v>
      </c>
      <c r="N52" s="378">
        <f t="shared" si="76"/>
        <v>745.16132999999991</v>
      </c>
      <c r="O52" s="373">
        <f t="shared" si="35"/>
        <v>4187.4243714799995</v>
      </c>
      <c r="P52" s="373">
        <f t="shared" si="14"/>
        <v>9935.4843999999994</v>
      </c>
      <c r="Q52" s="378">
        <f>H52*0.15</f>
        <v>745.16132999999991</v>
      </c>
      <c r="R52" s="373">
        <f t="shared" si="36"/>
        <v>4187.4243714799995</v>
      </c>
      <c r="S52" s="373">
        <f t="shared" si="37"/>
        <v>14903.226599999998</v>
      </c>
      <c r="T52" s="374">
        <f>(S52-10000)*0.2+(10000-P52)*0.15</f>
        <v>990.3226599999997</v>
      </c>
      <c r="U52" s="373">
        <f t="shared" si="39"/>
        <v>3942.2630414799996</v>
      </c>
      <c r="V52" s="373">
        <f t="shared" si="40"/>
        <v>19870.968799999999</v>
      </c>
      <c r="W52" s="374">
        <f>H52*0.2</f>
        <v>993.54844000000003</v>
      </c>
      <c r="X52" s="373">
        <f t="shared" si="42"/>
        <v>3939.0372614799994</v>
      </c>
      <c r="Y52" s="373">
        <f t="shared" si="43"/>
        <v>24838.710999999999</v>
      </c>
      <c r="Z52" s="374">
        <f>H52*0.2</f>
        <v>993.54844000000003</v>
      </c>
      <c r="AA52" s="373">
        <f t="shared" si="45"/>
        <v>3939.0372614799994</v>
      </c>
      <c r="AB52" s="373">
        <f t="shared" si="46"/>
        <v>29806.453199999996</v>
      </c>
      <c r="AC52" s="376">
        <f>(AB52-25000)*0.27+(25000-Y52)*0.2</f>
        <v>1330.0001639999991</v>
      </c>
      <c r="AD52" s="373">
        <f t="shared" si="47"/>
        <v>3602.5855374800003</v>
      </c>
      <c r="AE52" s="373">
        <f t="shared" si="48"/>
        <v>34774.195399999997</v>
      </c>
      <c r="AF52" s="376">
        <f t="shared" si="75"/>
        <v>1341.2903940000001</v>
      </c>
      <c r="AG52" s="373">
        <f t="shared" si="49"/>
        <v>3591.2953074799993</v>
      </c>
      <c r="AH52" s="373">
        <f t="shared" si="50"/>
        <v>39741.937599999997</v>
      </c>
      <c r="AI52" s="376">
        <f t="shared" si="78"/>
        <v>1341.2903940000001</v>
      </c>
      <c r="AJ52" s="373">
        <f t="shared" si="51"/>
        <v>3591.2953074799993</v>
      </c>
      <c r="AK52" s="373">
        <f t="shared" si="52"/>
        <v>44709.679799999998</v>
      </c>
      <c r="AL52" s="376">
        <f t="shared" si="79"/>
        <v>1341.2903940000001</v>
      </c>
      <c r="AM52" s="373">
        <f t="shared" si="53"/>
        <v>3591.2953074799993</v>
      </c>
      <c r="AN52" s="373">
        <f t="shared" si="54"/>
        <v>49677.421999999999</v>
      </c>
      <c r="AO52" s="376">
        <f>H52*0.27</f>
        <v>1341.2903940000001</v>
      </c>
      <c r="AP52" s="373">
        <f t="shared" si="68"/>
        <v>3522.9284778799993</v>
      </c>
      <c r="AQ52" s="373">
        <f t="shared" si="56"/>
        <v>54645.164199999999</v>
      </c>
      <c r="AR52" s="376">
        <f>H52*0.27</f>
        <v>1341.2903940000001</v>
      </c>
      <c r="AS52" s="373">
        <f t="shared" si="58"/>
        <v>3591.2953074799993</v>
      </c>
      <c r="AT52" s="373">
        <f t="shared" si="59"/>
        <v>59612.906399999993</v>
      </c>
      <c r="AU52" s="376">
        <f t="shared" si="80"/>
        <v>1341.2903940000001</v>
      </c>
      <c r="AV52" s="373">
        <f t="shared" si="61"/>
        <v>3591.2953074799993</v>
      </c>
      <c r="AW52" s="292"/>
    </row>
    <row r="53" spans="1:49" ht="28.5" x14ac:dyDescent="0.45">
      <c r="A53" s="714" t="s">
        <v>173</v>
      </c>
      <c r="B53" s="715"/>
      <c r="C53" s="241">
        <v>125</v>
      </c>
      <c r="D53" s="234">
        <v>3330.68</v>
      </c>
      <c r="E53" s="234">
        <v>4163.3499999999995</v>
      </c>
      <c r="F53" s="234">
        <f t="shared" si="33"/>
        <v>7494.0299999999988</v>
      </c>
      <c r="G53" s="233">
        <v>278</v>
      </c>
      <c r="H53" s="353">
        <f t="shared" si="62"/>
        <v>3913.6607799999992</v>
      </c>
      <c r="I53" s="363">
        <v>0.22</v>
      </c>
      <c r="J53" s="362">
        <v>3023</v>
      </c>
      <c r="K53" s="361">
        <f t="shared" si="11"/>
        <v>3047.3933405019993</v>
      </c>
      <c r="L53" s="372">
        <f t="shared" si="12"/>
        <v>27.664961147999996</v>
      </c>
      <c r="M53" s="373">
        <f t="shared" si="13"/>
        <v>3913.6607799999992</v>
      </c>
      <c r="N53" s="378">
        <f t="shared" si="76"/>
        <v>587.04911699999991</v>
      </c>
      <c r="O53" s="373">
        <f t="shared" si="35"/>
        <v>3298.946701851999</v>
      </c>
      <c r="P53" s="373">
        <f t="shared" si="14"/>
        <v>7827.3215599999985</v>
      </c>
      <c r="Q53" s="378">
        <f>H53*0.15</f>
        <v>587.04911699999991</v>
      </c>
      <c r="R53" s="373">
        <f t="shared" si="36"/>
        <v>3298.946701851999</v>
      </c>
      <c r="S53" s="373">
        <f t="shared" si="37"/>
        <v>11740.982339999999</v>
      </c>
      <c r="T53" s="374">
        <f>(S53-10000)*0.2+(10000-P53)*0.15</f>
        <v>674.09823400000005</v>
      </c>
      <c r="U53" s="373">
        <f t="shared" si="39"/>
        <v>3211.897584851999</v>
      </c>
      <c r="V53" s="373">
        <f t="shared" si="40"/>
        <v>15654.643119999997</v>
      </c>
      <c r="W53" s="374">
        <f t="shared" ref="W53:W54" si="81">H53*0.2</f>
        <v>782.73215599999992</v>
      </c>
      <c r="X53" s="373">
        <f t="shared" si="42"/>
        <v>3103.263662851999</v>
      </c>
      <c r="Y53" s="373">
        <f t="shared" si="43"/>
        <v>19568.303899999995</v>
      </c>
      <c r="Z53" s="374">
        <f>H53*0.2</f>
        <v>782.73215599999992</v>
      </c>
      <c r="AA53" s="373">
        <f t="shared" si="45"/>
        <v>3103.263662851999</v>
      </c>
      <c r="AB53" s="373">
        <f t="shared" si="46"/>
        <v>23481.964679999997</v>
      </c>
      <c r="AC53" s="374">
        <f>H53*0.2</f>
        <v>782.73215599999992</v>
      </c>
      <c r="AD53" s="373">
        <f t="shared" si="47"/>
        <v>3103.263662851999</v>
      </c>
      <c r="AE53" s="373">
        <f t="shared" si="48"/>
        <v>27395.625459999996</v>
      </c>
      <c r="AF53" s="376">
        <f>(AE53-25000)*0.27+(25000-AB53)*0.2</f>
        <v>950.42593819999934</v>
      </c>
      <c r="AG53" s="373">
        <f t="shared" si="49"/>
        <v>2935.5698806519995</v>
      </c>
      <c r="AH53" s="373">
        <f t="shared" si="50"/>
        <v>31309.286239999994</v>
      </c>
      <c r="AI53" s="376">
        <f t="shared" si="78"/>
        <v>1056.6884105999998</v>
      </c>
      <c r="AJ53" s="373">
        <f t="shared" si="51"/>
        <v>2829.3074082519993</v>
      </c>
      <c r="AK53" s="373">
        <f t="shared" si="52"/>
        <v>35222.947019999992</v>
      </c>
      <c r="AL53" s="376">
        <f t="shared" si="79"/>
        <v>1056.6884105999998</v>
      </c>
      <c r="AM53" s="373">
        <f t="shared" si="53"/>
        <v>2829.3074082519993</v>
      </c>
      <c r="AN53" s="373">
        <f t="shared" si="54"/>
        <v>39136.607799999991</v>
      </c>
      <c r="AO53" s="376">
        <f t="shared" ref="AO53:AO54" si="82">H53*0.27</f>
        <v>1056.6884105999998</v>
      </c>
      <c r="AP53" s="373">
        <f t="shared" si="68"/>
        <v>2476.3385952519989</v>
      </c>
      <c r="AQ53" s="373">
        <f t="shared" si="56"/>
        <v>43050.268579999989</v>
      </c>
      <c r="AR53" s="376">
        <f t="shared" ref="AR53:AR54" si="83">H53*0.27</f>
        <v>1056.6884105999998</v>
      </c>
      <c r="AS53" s="373">
        <f t="shared" si="58"/>
        <v>2829.3074082519993</v>
      </c>
      <c r="AT53" s="373">
        <f t="shared" si="59"/>
        <v>46963.929359999995</v>
      </c>
      <c r="AU53" s="376">
        <f t="shared" si="80"/>
        <v>1056.6884105999998</v>
      </c>
      <c r="AV53" s="373">
        <f t="shared" si="61"/>
        <v>2829.3074082519993</v>
      </c>
      <c r="AW53" s="292"/>
    </row>
    <row r="54" spans="1:49" ht="29.25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33"/>
        <v>4996.01</v>
      </c>
      <c r="G54" s="233">
        <v>278</v>
      </c>
      <c r="H54" s="353">
        <f t="shared" si="62"/>
        <v>3699.3255999999997</v>
      </c>
      <c r="I54" s="363">
        <v>0.63</v>
      </c>
      <c r="J54" s="362">
        <v>2822</v>
      </c>
      <c r="K54" s="361">
        <f t="shared" si="11"/>
        <v>2887.5207297399998</v>
      </c>
      <c r="L54" s="372">
        <f t="shared" si="12"/>
        <v>26.250348959999997</v>
      </c>
      <c r="M54" s="373">
        <f t="shared" si="13"/>
        <v>3699.3255999999997</v>
      </c>
      <c r="N54" s="378">
        <f t="shared" si="76"/>
        <v>554.89883999999995</v>
      </c>
      <c r="O54" s="373">
        <f t="shared" si="35"/>
        <v>3118.1764110399999</v>
      </c>
      <c r="P54" s="373">
        <f t="shared" si="14"/>
        <v>7398.6511999999993</v>
      </c>
      <c r="Q54" s="378">
        <f>H54*0.15</f>
        <v>554.89883999999995</v>
      </c>
      <c r="R54" s="373">
        <f t="shared" si="36"/>
        <v>3118.1764110399999</v>
      </c>
      <c r="S54" s="373">
        <f t="shared" si="37"/>
        <v>11097.976799999999</v>
      </c>
      <c r="T54" s="374">
        <f>(S54-10000)*0.2+(10000-P54)*0.15</f>
        <v>609.79767999999979</v>
      </c>
      <c r="U54" s="373">
        <f t="shared" si="39"/>
        <v>3063.2775710400001</v>
      </c>
      <c r="V54" s="373">
        <f t="shared" si="40"/>
        <v>14797.302399999999</v>
      </c>
      <c r="W54" s="374">
        <f t="shared" si="81"/>
        <v>739.86511999999993</v>
      </c>
      <c r="X54" s="373">
        <f t="shared" si="42"/>
        <v>2933.2101310399999</v>
      </c>
      <c r="Y54" s="373">
        <f t="shared" si="43"/>
        <v>18496.627999999997</v>
      </c>
      <c r="Z54" s="374">
        <f>H54*0.2</f>
        <v>739.86511999999993</v>
      </c>
      <c r="AA54" s="373">
        <f t="shared" si="45"/>
        <v>2933.2101310399999</v>
      </c>
      <c r="AB54" s="373">
        <f t="shared" si="46"/>
        <v>22195.953599999997</v>
      </c>
      <c r="AC54" s="374">
        <f>H54*0.2</f>
        <v>739.86511999999993</v>
      </c>
      <c r="AD54" s="373">
        <f t="shared" si="47"/>
        <v>2933.2101310399999</v>
      </c>
      <c r="AE54" s="373">
        <f t="shared" si="48"/>
        <v>25895.279199999997</v>
      </c>
      <c r="AF54" s="376">
        <f>(AE54-25000)*0.27+(25000-AB54)*0.2</f>
        <v>802.53466399999991</v>
      </c>
      <c r="AG54" s="373">
        <f t="shared" si="49"/>
        <v>2870.54058704</v>
      </c>
      <c r="AH54" s="373">
        <f t="shared" si="50"/>
        <v>29594.604799999997</v>
      </c>
      <c r="AI54" s="376">
        <f t="shared" si="78"/>
        <v>998.81791199999998</v>
      </c>
      <c r="AJ54" s="373">
        <f t="shared" si="51"/>
        <v>2674.2573390399998</v>
      </c>
      <c r="AK54" s="373">
        <f t="shared" si="52"/>
        <v>33293.930399999997</v>
      </c>
      <c r="AL54" s="376">
        <f t="shared" si="79"/>
        <v>998.81791199999998</v>
      </c>
      <c r="AM54" s="373">
        <f t="shared" si="53"/>
        <v>2674.2573390399998</v>
      </c>
      <c r="AN54" s="373">
        <f t="shared" si="54"/>
        <v>36993.255999999994</v>
      </c>
      <c r="AO54" s="376">
        <f t="shared" si="82"/>
        <v>998.81791199999998</v>
      </c>
      <c r="AP54" s="373">
        <f t="shared" si="68"/>
        <v>2263.4180274399996</v>
      </c>
      <c r="AQ54" s="373">
        <f t="shared" si="56"/>
        <v>40692.581599999998</v>
      </c>
      <c r="AR54" s="376">
        <f t="shared" si="83"/>
        <v>998.81791199999998</v>
      </c>
      <c r="AS54" s="373">
        <f t="shared" si="58"/>
        <v>2674.2573390399998</v>
      </c>
      <c r="AT54" s="373">
        <f t="shared" si="59"/>
        <v>44391.907199999994</v>
      </c>
      <c r="AU54" s="376">
        <f t="shared" si="80"/>
        <v>998.81791199999998</v>
      </c>
      <c r="AV54" s="373">
        <f t="shared" si="61"/>
        <v>2674.2573390399998</v>
      </c>
      <c r="AW54" s="292"/>
    </row>
    <row r="55" spans="1:49" x14ac:dyDescent="0.35">
      <c r="AL55" s="379"/>
    </row>
  </sheetData>
  <mergeCells count="11">
    <mergeCell ref="A30:A38"/>
    <mergeCell ref="A39:A46"/>
    <mergeCell ref="A47:A52"/>
    <mergeCell ref="A53:B53"/>
    <mergeCell ref="A54:B54"/>
    <mergeCell ref="A28:B28"/>
    <mergeCell ref="A1:F1"/>
    <mergeCell ref="A4:B4"/>
    <mergeCell ref="A6:A14"/>
    <mergeCell ref="A15:A23"/>
    <mergeCell ref="A24:A2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topLeftCell="A4" zoomScaleNormal="100" workbookViewId="0">
      <selection activeCell="E14" sqref="E14"/>
    </sheetView>
  </sheetViews>
  <sheetFormatPr defaultColWidth="14" defaultRowHeight="21" x14ac:dyDescent="0.35"/>
  <cols>
    <col min="1" max="1" width="14" style="202"/>
    <col min="2" max="2" width="64.7109375" style="130" customWidth="1"/>
    <col min="3" max="6" width="14.140625" bestFit="1" customWidth="1"/>
    <col min="7" max="8" width="0" hidden="1" customWidth="1"/>
    <col min="9" max="9" width="14.140625" bestFit="1" customWidth="1"/>
    <col min="10" max="10" width="14.85546875" bestFit="1" customWidth="1"/>
    <col min="11" max="11" width="20.5703125" customWidth="1"/>
    <col min="12" max="12" width="0" hidden="1" customWidth="1"/>
    <col min="13" max="15" width="0" style="130" hidden="1" customWidth="1"/>
    <col min="16" max="16" width="15.28515625" style="130" customWidth="1"/>
    <col min="17" max="48" width="0" style="130" hidden="1" customWidth="1"/>
    <col min="49" max="49" width="15.85546875" style="130" customWidth="1"/>
  </cols>
  <sheetData>
    <row r="1" spans="1:50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0" ht="24" hidden="1" thickBot="1" x14ac:dyDescent="0.4">
      <c r="A2" s="192"/>
      <c r="B2" s="2"/>
      <c r="C2" s="2"/>
      <c r="D2" s="2"/>
      <c r="E2" s="2"/>
      <c r="F2" s="2"/>
      <c r="K2" s="385"/>
      <c r="L2" s="385"/>
    </row>
    <row r="3" spans="1:50" ht="27" hidden="1" thickBot="1" x14ac:dyDescent="0.4">
      <c r="A3" s="236" t="s">
        <v>1</v>
      </c>
      <c r="B3" s="4"/>
      <c r="C3" s="4"/>
      <c r="D3" s="4"/>
      <c r="E3" s="4"/>
      <c r="F3" s="4"/>
    </row>
    <row r="4" spans="1:50" ht="65.25" customHeight="1" x14ac:dyDescent="0.25">
      <c r="A4" s="741" t="s">
        <v>2</v>
      </c>
      <c r="B4" s="741"/>
      <c r="C4" s="400" t="s">
        <v>3</v>
      </c>
      <c r="D4" s="400" t="s">
        <v>229</v>
      </c>
      <c r="E4" s="400" t="s">
        <v>253</v>
      </c>
      <c r="F4" s="400" t="s">
        <v>231</v>
      </c>
      <c r="G4" s="401" t="s">
        <v>244</v>
      </c>
      <c r="H4" s="401" t="s">
        <v>249</v>
      </c>
      <c r="I4" s="400" t="s">
        <v>37</v>
      </c>
      <c r="J4" s="402" t="s">
        <v>279</v>
      </c>
      <c r="K4" s="402" t="s">
        <v>280</v>
      </c>
      <c r="L4" s="402" t="s">
        <v>283</v>
      </c>
      <c r="M4" s="403" t="s">
        <v>245</v>
      </c>
      <c r="N4" s="403">
        <v>1</v>
      </c>
      <c r="O4" s="403" t="s">
        <v>255</v>
      </c>
      <c r="P4" s="403" t="s">
        <v>267</v>
      </c>
      <c r="Q4" s="403">
        <v>2</v>
      </c>
      <c r="R4" s="403" t="s">
        <v>256</v>
      </c>
      <c r="S4" s="403" t="s">
        <v>268</v>
      </c>
      <c r="T4" s="403">
        <v>3</v>
      </c>
      <c r="U4" s="403" t="s">
        <v>257</v>
      </c>
      <c r="V4" s="403" t="s">
        <v>278</v>
      </c>
      <c r="W4" s="403">
        <v>4</v>
      </c>
      <c r="X4" s="403" t="s">
        <v>258</v>
      </c>
      <c r="Y4" s="403" t="s">
        <v>277</v>
      </c>
      <c r="Z4" s="403">
        <v>5</v>
      </c>
      <c r="AA4" s="403" t="s">
        <v>259</v>
      </c>
      <c r="AB4" s="403" t="s">
        <v>276</v>
      </c>
      <c r="AC4" s="403">
        <v>6</v>
      </c>
      <c r="AD4" s="403" t="s">
        <v>260</v>
      </c>
      <c r="AE4" s="403" t="s">
        <v>275</v>
      </c>
      <c r="AF4" s="403">
        <v>7</v>
      </c>
      <c r="AG4" s="403" t="s">
        <v>261</v>
      </c>
      <c r="AH4" s="403" t="s">
        <v>274</v>
      </c>
      <c r="AI4" s="403">
        <v>8</v>
      </c>
      <c r="AJ4" s="403" t="s">
        <v>262</v>
      </c>
      <c r="AK4" s="403" t="s">
        <v>273</v>
      </c>
      <c r="AL4" s="403">
        <v>9</v>
      </c>
      <c r="AM4" s="403" t="s">
        <v>263</v>
      </c>
      <c r="AN4" s="403" t="s">
        <v>272</v>
      </c>
      <c r="AO4" s="403">
        <v>10</v>
      </c>
      <c r="AP4" s="403" t="s">
        <v>264</v>
      </c>
      <c r="AQ4" s="403" t="s">
        <v>271</v>
      </c>
      <c r="AR4" s="403">
        <v>11</v>
      </c>
      <c r="AS4" s="403" t="s">
        <v>265</v>
      </c>
      <c r="AT4" s="403" t="s">
        <v>270</v>
      </c>
      <c r="AU4" s="403">
        <v>12</v>
      </c>
      <c r="AV4" s="403" t="s">
        <v>266</v>
      </c>
      <c r="AW4" s="403" t="s">
        <v>269</v>
      </c>
    </row>
    <row r="5" spans="1:50" s="233" customFormat="1" ht="33.75" customHeight="1" x14ac:dyDescent="0.45">
      <c r="A5" s="404"/>
      <c r="B5" s="405"/>
      <c r="C5" s="406"/>
      <c r="D5" s="406"/>
      <c r="E5" s="406"/>
      <c r="F5" s="406"/>
      <c r="G5" s="276"/>
      <c r="H5" s="407">
        <v>0.93</v>
      </c>
      <c r="I5" s="276"/>
      <c r="J5" s="276"/>
      <c r="K5" s="276"/>
      <c r="L5" s="276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08"/>
      <c r="AU5" s="408"/>
      <c r="AV5" s="408"/>
      <c r="AW5" s="408"/>
      <c r="AX5" s="371"/>
    </row>
    <row r="6" spans="1:50" s="233" customFormat="1" ht="30" customHeight="1" x14ac:dyDescent="0.45">
      <c r="A6" s="742" t="s">
        <v>11</v>
      </c>
      <c r="B6" s="409" t="s">
        <v>212</v>
      </c>
      <c r="C6" s="410">
        <v>550</v>
      </c>
      <c r="D6" s="411">
        <v>6661</v>
      </c>
      <c r="E6" s="411">
        <v>18318.739999999998</v>
      </c>
      <c r="F6" s="411">
        <f>D6+E6</f>
        <v>24979.739999999998</v>
      </c>
      <c r="G6" s="276">
        <v>359</v>
      </c>
      <c r="H6" s="412">
        <f>D6+E6*$H$5*$I6-G6</f>
        <v>18568.228303999997</v>
      </c>
      <c r="I6" s="396">
        <v>0.72</v>
      </c>
      <c r="J6" s="397">
        <v>12600</v>
      </c>
      <c r="K6" s="361">
        <f>((P6+S6+V6+Y6+AB6+AE6+AH6+AK6+AN6+AQ6+AT6+AW6)/12)+60</f>
        <v>12778.595357460268</v>
      </c>
      <c r="L6" s="361">
        <f t="shared" ref="L6:L28" si="0">K6/0.93</f>
        <v>13740.425115548675</v>
      </c>
      <c r="M6" s="413">
        <f>(H6+G6)*0.0066</f>
        <v>124.91970680639997</v>
      </c>
      <c r="N6" s="414">
        <f>$H6*N$4</f>
        <v>18568.228303999997</v>
      </c>
      <c r="O6" s="415">
        <f>(N6-10000)*0.2+10000*0.15</f>
        <v>3213.6456607999994</v>
      </c>
      <c r="P6" s="414">
        <f>H6-M6-O6</f>
        <v>15229.662936393599</v>
      </c>
      <c r="Q6" s="414">
        <f>$H6*2</f>
        <v>37136.456607999993</v>
      </c>
      <c r="R6" s="416">
        <f>(Q6-25000)*0.27+4500-O6</f>
        <v>4563.1976233599999</v>
      </c>
      <c r="S6" s="414">
        <f>H6-M6-R6</f>
        <v>13880.110973833598</v>
      </c>
      <c r="T6" s="414">
        <f t="shared" ref="T6:T28" si="1">H6*3</f>
        <v>55704.68491199999</v>
      </c>
      <c r="U6" s="416">
        <f>N6*0.27</f>
        <v>5013.4216420799994</v>
      </c>
      <c r="V6" s="414">
        <f>H6-M6-U6</f>
        <v>13429.886955113598</v>
      </c>
      <c r="W6" s="414">
        <f t="shared" ref="W6:W28" si="2">H6*4</f>
        <v>74272.913215999986</v>
      </c>
      <c r="X6" s="416">
        <f t="shared" ref="X6:X22" si="3">H6*0.27</f>
        <v>5013.4216420799994</v>
      </c>
      <c r="Y6" s="414">
        <f>H6-M6-X6</f>
        <v>13429.886955113598</v>
      </c>
      <c r="Z6" s="414">
        <f t="shared" ref="Z6:Z28" si="4">H6*5</f>
        <v>92841.141519999976</v>
      </c>
      <c r="AA6" s="417">
        <f>(Z6-88000)*0.35+(88000-W6)*0.27</f>
        <v>5400.7129636799946</v>
      </c>
      <c r="AB6" s="414">
        <f>H6-M6-AA6</f>
        <v>13042.595633513603</v>
      </c>
      <c r="AC6" s="414">
        <f t="shared" ref="AC6:AC28" si="5">H6*6</f>
        <v>111409.36982399998</v>
      </c>
      <c r="AD6" s="417">
        <f>$H$6*0.35</f>
        <v>6498.8799063999986</v>
      </c>
      <c r="AE6" s="414">
        <f>H6-M6-AD6</f>
        <v>11944.4286907936</v>
      </c>
      <c r="AF6" s="414">
        <f t="shared" ref="AF6:AF28" si="6">H6*7</f>
        <v>129977.59812799998</v>
      </c>
      <c r="AG6" s="417">
        <f>$H$6*0.35</f>
        <v>6498.8799063999986</v>
      </c>
      <c r="AH6" s="414">
        <f>H6-M6-AG6</f>
        <v>11944.4286907936</v>
      </c>
      <c r="AI6" s="414">
        <f t="shared" ref="AI6:AI28" si="7">H6*8</f>
        <v>148545.82643199997</v>
      </c>
      <c r="AJ6" s="417">
        <f>$H$6*0.35</f>
        <v>6498.8799063999986</v>
      </c>
      <c r="AK6" s="414">
        <f>H6-M6-AJ6</f>
        <v>11944.4286907936</v>
      </c>
      <c r="AL6" s="414">
        <f t="shared" ref="AL6:AL28" si="8">H6*9</f>
        <v>167114.05473599996</v>
      </c>
      <c r="AM6" s="417">
        <f>$H$6*0.35</f>
        <v>6498.8799063999986</v>
      </c>
      <c r="AN6" s="414">
        <f>H6-M6-AM6</f>
        <v>11944.4286907936</v>
      </c>
      <c r="AO6" s="414">
        <f t="shared" ref="AO6:AO28" si="9">H6*10</f>
        <v>185682.28303999995</v>
      </c>
      <c r="AP6" s="417">
        <f>$H$6*0.35</f>
        <v>6498.8799063999986</v>
      </c>
      <c r="AQ6" s="414">
        <f>H6-M6-AP6</f>
        <v>11944.4286907936</v>
      </c>
      <c r="AR6" s="414">
        <f t="shared" ref="AR6:AR28" si="10">H6*11</f>
        <v>204250.51134399997</v>
      </c>
      <c r="AS6" s="417">
        <f>$H$6*0.35</f>
        <v>6498.8799063999986</v>
      </c>
      <c r="AT6" s="414">
        <f>AQ6</f>
        <v>11944.4286907936</v>
      </c>
      <c r="AU6" s="414">
        <f t="shared" ref="AU6:AU28" si="11">H6*12</f>
        <v>222818.73964799996</v>
      </c>
      <c r="AV6" s="417">
        <f>$H$6*0.35</f>
        <v>6498.8799063999986</v>
      </c>
      <c r="AW6" s="414">
        <f>H6-M6-AV6</f>
        <v>11944.4286907936</v>
      </c>
      <c r="AX6" s="371"/>
    </row>
    <row r="7" spans="1:50" s="233" customFormat="1" ht="30" customHeight="1" x14ac:dyDescent="0.45">
      <c r="A7" s="742"/>
      <c r="B7" s="409" t="s">
        <v>211</v>
      </c>
      <c r="C7" s="410">
        <v>550</v>
      </c>
      <c r="D7" s="411">
        <v>6661</v>
      </c>
      <c r="E7" s="411">
        <v>18318.739999999998</v>
      </c>
      <c r="F7" s="411">
        <f>D7+E7</f>
        <v>24979.739999999998</v>
      </c>
      <c r="G7" s="276">
        <v>359</v>
      </c>
      <c r="H7" s="412">
        <f>D7+E7*$H$5*$I7-G7</f>
        <v>11924.021305999999</v>
      </c>
      <c r="I7" s="396">
        <v>0.33</v>
      </c>
      <c r="J7" s="397">
        <v>8500</v>
      </c>
      <c r="K7" s="361">
        <f t="shared" ref="K7:K54" si="12">((P7+S7+V7+Y7+AB7+AE7+AH7+AK7+AN7+AQ7+AT7+AW7)/12)+60</f>
        <v>8503.712574947067</v>
      </c>
      <c r="L7" s="361">
        <f t="shared" si="0"/>
        <v>9143.7769623086733</v>
      </c>
      <c r="M7" s="413">
        <f t="shared" ref="M7:M54" si="13">(H7+G7)*0.0066</f>
        <v>81.067940619599995</v>
      </c>
      <c r="N7" s="414">
        <f t="shared" ref="N7:N54" si="14">$H7*N$4</f>
        <v>11924.021305999999</v>
      </c>
      <c r="O7" s="415">
        <f>(N7-10000)*0.2+1500</f>
        <v>1884.8042611999997</v>
      </c>
      <c r="P7" s="414">
        <f>H7-M7-O7</f>
        <v>9958.1491041804002</v>
      </c>
      <c r="Q7" s="414">
        <f t="shared" ref="Q7:Q54" si="15">$H7*2</f>
        <v>23848.042611999997</v>
      </c>
      <c r="R7" s="415">
        <f>H7*0.2</f>
        <v>2384.8042611999999</v>
      </c>
      <c r="S7" s="414">
        <f>H7-M7-R7</f>
        <v>9458.1491041804002</v>
      </c>
      <c r="T7" s="414">
        <f t="shared" si="1"/>
        <v>35772.063918</v>
      </c>
      <c r="U7" s="416">
        <f>(25000-Q7)*0.2+(T7-25000)*0.27</f>
        <v>3138.8487354600006</v>
      </c>
      <c r="V7" s="414">
        <f>H7-M7-U7</f>
        <v>8704.104629920399</v>
      </c>
      <c r="W7" s="414">
        <f t="shared" si="2"/>
        <v>47696.085223999995</v>
      </c>
      <c r="X7" s="416">
        <f t="shared" si="3"/>
        <v>3219.4857526199999</v>
      </c>
      <c r="Y7" s="414">
        <f>H7-M7-X7</f>
        <v>8623.4676127603998</v>
      </c>
      <c r="Z7" s="414">
        <f t="shared" si="4"/>
        <v>59620.10652999999</v>
      </c>
      <c r="AA7" s="416">
        <f t="shared" ref="AA7:AA24" si="16">H7*0.27</f>
        <v>3219.4857526199999</v>
      </c>
      <c r="AB7" s="414">
        <f>H7-M7-AA7</f>
        <v>8623.4676127603998</v>
      </c>
      <c r="AC7" s="414">
        <f t="shared" si="5"/>
        <v>71544.127836</v>
      </c>
      <c r="AD7" s="416">
        <f t="shared" ref="AD7:AD14" si="17">H7*0.27</f>
        <v>3219.4857526199999</v>
      </c>
      <c r="AE7" s="414">
        <f>H7-M7-AD7</f>
        <v>8623.4676127603998</v>
      </c>
      <c r="AF7" s="414">
        <f t="shared" si="6"/>
        <v>83468.149141999995</v>
      </c>
      <c r="AG7" s="416">
        <f>H7*0.27</f>
        <v>3219.4857526199999</v>
      </c>
      <c r="AH7" s="414">
        <f>H7-M7-AG7</f>
        <v>8623.4676127603998</v>
      </c>
      <c r="AI7" s="414">
        <f t="shared" si="7"/>
        <v>95392.17044799999</v>
      </c>
      <c r="AJ7" s="417">
        <f>(AI7-88000)*0.35+(88000-AF7)*0.27</f>
        <v>3810.8593884599977</v>
      </c>
      <c r="AK7" s="414">
        <f>H7-M7-AJ7</f>
        <v>8032.0939769204015</v>
      </c>
      <c r="AL7" s="414">
        <f t="shared" si="8"/>
        <v>107316.19175399998</v>
      </c>
      <c r="AM7" s="417">
        <f>H7*0.35</f>
        <v>4173.4074570999992</v>
      </c>
      <c r="AN7" s="414">
        <f>$H$7-$M$7-AM7</f>
        <v>7669.5459082804</v>
      </c>
      <c r="AO7" s="414">
        <f t="shared" si="9"/>
        <v>119240.21305999998</v>
      </c>
      <c r="AP7" s="417">
        <f t="shared" ref="AP7:AP12" si="18">H7*0.35</f>
        <v>4173.4074570999992</v>
      </c>
      <c r="AQ7" s="414">
        <f>$H$7-$M$7-AP7</f>
        <v>7669.5459082804</v>
      </c>
      <c r="AR7" s="414">
        <f t="shared" si="10"/>
        <v>131164.23436599999</v>
      </c>
      <c r="AS7" s="417">
        <f t="shared" ref="AS7:AS22" si="19">H7*0.35</f>
        <v>4173.4074570999992</v>
      </c>
      <c r="AT7" s="414">
        <f>$H$7-$M$7-AS7</f>
        <v>7669.5459082804</v>
      </c>
      <c r="AU7" s="414">
        <f t="shared" si="11"/>
        <v>143088.255672</v>
      </c>
      <c r="AV7" s="417">
        <f t="shared" ref="AV7" si="20">AS7</f>
        <v>4173.4074570999992</v>
      </c>
      <c r="AW7" s="414">
        <f>$H$7-$M$7-AV7</f>
        <v>7669.5459082804</v>
      </c>
      <c r="AX7" s="371"/>
    </row>
    <row r="8" spans="1:50" s="233" customFormat="1" ht="30" customHeight="1" x14ac:dyDescent="0.45">
      <c r="A8" s="742"/>
      <c r="B8" s="418" t="s">
        <v>213</v>
      </c>
      <c r="C8" s="406">
        <v>550</v>
      </c>
      <c r="D8" s="411">
        <v>6661</v>
      </c>
      <c r="E8" s="419">
        <v>18318.739999999998</v>
      </c>
      <c r="F8" s="419">
        <f>D8+E8</f>
        <v>24979.739999999998</v>
      </c>
      <c r="G8" s="276">
        <v>359</v>
      </c>
      <c r="H8" s="412">
        <f t="shared" ref="H8:H28" si="21">D8+E8*$H$5*$I8-G8</f>
        <v>9709.2856400000001</v>
      </c>
      <c r="I8" s="396">
        <v>0.2</v>
      </c>
      <c r="J8" s="397">
        <v>7066</v>
      </c>
      <c r="K8" s="361">
        <f t="shared" si="12"/>
        <v>7078.7516474426657</v>
      </c>
      <c r="L8" s="361">
        <f t="shared" si="0"/>
        <v>7611.560911228672</v>
      </c>
      <c r="M8" s="413">
        <f t="shared" si="13"/>
        <v>66.450685223999997</v>
      </c>
      <c r="N8" s="414">
        <f t="shared" si="14"/>
        <v>9709.2856400000001</v>
      </c>
      <c r="O8" s="420">
        <f>H8*0.15</f>
        <v>1456.392846</v>
      </c>
      <c r="P8" s="414">
        <f>$H$8-$M$8-O8</f>
        <v>8186.4421087760011</v>
      </c>
      <c r="Q8" s="414">
        <f t="shared" si="15"/>
        <v>19418.57128</v>
      </c>
      <c r="R8" s="415">
        <f t="shared" ref="R8" si="22">(Q8-10000)*0.2+(10000-N8)*0.15</f>
        <v>1927.3214100000002</v>
      </c>
      <c r="S8" s="414">
        <f>$H$8-$M$8-R8</f>
        <v>7715.5135447760003</v>
      </c>
      <c r="T8" s="414">
        <f t="shared" si="1"/>
        <v>29127.856919999998</v>
      </c>
      <c r="U8" s="416">
        <f>(T8-25000)*0.27+(25000-Q8)*0.2</f>
        <v>2230.8071123999998</v>
      </c>
      <c r="V8" s="414">
        <f>$H$8-$M$8-U8</f>
        <v>7412.027842376001</v>
      </c>
      <c r="W8" s="414">
        <f t="shared" si="2"/>
        <v>38837.14256</v>
      </c>
      <c r="X8" s="416">
        <f t="shared" si="3"/>
        <v>2621.5071228000002</v>
      </c>
      <c r="Y8" s="414">
        <f>$H$8-$M$8-X8</f>
        <v>7021.3278319760011</v>
      </c>
      <c r="Z8" s="414">
        <f t="shared" si="4"/>
        <v>48546.428200000002</v>
      </c>
      <c r="AA8" s="416">
        <f t="shared" si="16"/>
        <v>2621.5071228000002</v>
      </c>
      <c r="AB8" s="414">
        <f>$H$8-$M$8-AA8</f>
        <v>7021.3278319760011</v>
      </c>
      <c r="AC8" s="414">
        <f t="shared" si="5"/>
        <v>58255.713839999997</v>
      </c>
      <c r="AD8" s="416">
        <f t="shared" si="17"/>
        <v>2621.5071228000002</v>
      </c>
      <c r="AE8" s="414">
        <f>$H$8-$M$8-AD8</f>
        <v>7021.3278319760011</v>
      </c>
      <c r="AF8" s="414">
        <f t="shared" si="6"/>
        <v>67964.999479999999</v>
      </c>
      <c r="AG8" s="416">
        <f>H8*0.27</f>
        <v>2621.5071228000002</v>
      </c>
      <c r="AH8" s="414">
        <f>$H$8-$M$8-AG8</f>
        <v>7021.3278319760011</v>
      </c>
      <c r="AI8" s="414">
        <f t="shared" si="7"/>
        <v>77674.28512</v>
      </c>
      <c r="AJ8" s="416">
        <f>H8*0.27</f>
        <v>2621.5071228000002</v>
      </c>
      <c r="AK8" s="414">
        <f>$H$8-$M$8-AJ8</f>
        <v>7021.3278319760011</v>
      </c>
      <c r="AL8" s="414">
        <f t="shared" si="8"/>
        <v>87383.570760000002</v>
      </c>
      <c r="AM8" s="417">
        <f>(AL8-88000)*0.35+(88000-AI8)*0.27</f>
        <v>2572.1927836000009</v>
      </c>
      <c r="AN8" s="414">
        <f>$H$8-$M$8-AM8</f>
        <v>7070.6421711759995</v>
      </c>
      <c r="AO8" s="414">
        <f t="shared" si="9"/>
        <v>97092.856400000004</v>
      </c>
      <c r="AP8" s="417">
        <f t="shared" si="18"/>
        <v>3398.2499739999998</v>
      </c>
      <c r="AQ8" s="414">
        <f>$H$8-$M$8-AP8</f>
        <v>6244.5849807760005</v>
      </c>
      <c r="AR8" s="414">
        <f t="shared" si="10"/>
        <v>106802.14204000001</v>
      </c>
      <c r="AS8" s="417">
        <f t="shared" si="19"/>
        <v>3398.2499739999998</v>
      </c>
      <c r="AT8" s="414">
        <f>$H$8-$M$8-AS8</f>
        <v>6244.5849807760005</v>
      </c>
      <c r="AU8" s="414">
        <f t="shared" si="11"/>
        <v>116511.42767999999</v>
      </c>
      <c r="AV8" s="417">
        <f t="shared" ref="AV8:AV22" si="23">H8*0.35</f>
        <v>3398.2499739999998</v>
      </c>
      <c r="AW8" s="414">
        <f>$H$8-$M$8-AV8</f>
        <v>6244.5849807760005</v>
      </c>
      <c r="AX8" s="371"/>
    </row>
    <row r="9" spans="1:50" s="233" customFormat="1" ht="30" customHeight="1" x14ac:dyDescent="0.45">
      <c r="A9" s="742"/>
      <c r="B9" s="409" t="s">
        <v>32</v>
      </c>
      <c r="C9" s="410">
        <v>400</v>
      </c>
      <c r="D9" s="411">
        <v>6661</v>
      </c>
      <c r="E9" s="411">
        <v>13322.72</v>
      </c>
      <c r="F9" s="411">
        <f t="shared" ref="F9:F19" si="24">D9+E9</f>
        <v>19983.72</v>
      </c>
      <c r="G9" s="276">
        <v>359</v>
      </c>
      <c r="H9" s="412">
        <f t="shared" si="21"/>
        <v>14107.781648</v>
      </c>
      <c r="I9" s="396">
        <v>0.63</v>
      </c>
      <c r="J9" s="397">
        <v>9900</v>
      </c>
      <c r="K9" s="361">
        <f t="shared" si="12"/>
        <v>9908.743978989869</v>
      </c>
      <c r="L9" s="361">
        <f t="shared" si="0"/>
        <v>10654.563418268675</v>
      </c>
      <c r="M9" s="413">
        <f t="shared" si="13"/>
        <v>95.480758876799996</v>
      </c>
      <c r="N9" s="414">
        <f t="shared" si="14"/>
        <v>14107.781648</v>
      </c>
      <c r="O9" s="415">
        <f t="shared" ref="O9:O20" si="25">(N9-10000)*0.2+10000*0.15</f>
        <v>2321.5563296</v>
      </c>
      <c r="P9" s="414">
        <f>H9-O9-M9</f>
        <v>11690.7445595232</v>
      </c>
      <c r="Q9" s="414">
        <f t="shared" si="15"/>
        <v>28215.563296</v>
      </c>
      <c r="R9" s="416">
        <f>(Q9-25000)*0.27+(25000-N9)*0.2</f>
        <v>3046.6457603200001</v>
      </c>
      <c r="S9" s="414">
        <f>$H$9-$M$9-R9</f>
        <v>10965.655128803201</v>
      </c>
      <c r="T9" s="414">
        <f t="shared" si="1"/>
        <v>42323.344943999997</v>
      </c>
      <c r="U9" s="416">
        <f t="shared" ref="U9:U10" si="26">N9*0.27</f>
        <v>3809.1010449600003</v>
      </c>
      <c r="V9" s="414">
        <f>$H$9-$M$9-U9</f>
        <v>10203.1998441632</v>
      </c>
      <c r="W9" s="414">
        <f t="shared" si="2"/>
        <v>56431.126592000001</v>
      </c>
      <c r="X9" s="416">
        <f t="shared" si="3"/>
        <v>3809.1010449600003</v>
      </c>
      <c r="Y9" s="414">
        <f>$H$9-$M$9-X9</f>
        <v>10203.1998441632</v>
      </c>
      <c r="Z9" s="414">
        <f t="shared" si="4"/>
        <v>70538.908240000004</v>
      </c>
      <c r="AA9" s="416">
        <f t="shared" si="16"/>
        <v>3809.1010449600003</v>
      </c>
      <c r="AB9" s="414">
        <f>$H$9-$M$9-AA9</f>
        <v>10203.1998441632</v>
      </c>
      <c r="AC9" s="414">
        <f t="shared" si="5"/>
        <v>84646.689887999994</v>
      </c>
      <c r="AD9" s="416">
        <f t="shared" si="17"/>
        <v>3809.1010449600003</v>
      </c>
      <c r="AE9" s="414">
        <f>$H$9-$M$9-AD9</f>
        <v>10203.1998441632</v>
      </c>
      <c r="AF9" s="414">
        <f t="shared" si="6"/>
        <v>98754.471535999997</v>
      </c>
      <c r="AG9" s="417">
        <f>(AF9-88000)*0.35+(88000-AC9)*0.27</f>
        <v>4669.4587678400003</v>
      </c>
      <c r="AH9" s="414">
        <f>$H$9-$M$9-AG9</f>
        <v>9342.8421212832</v>
      </c>
      <c r="AI9" s="414">
        <f t="shared" si="7"/>
        <v>112862.253184</v>
      </c>
      <c r="AJ9" s="417">
        <f>H9*0.35</f>
        <v>4937.7235768</v>
      </c>
      <c r="AK9" s="414">
        <f>$H$9-$M$9-AJ9</f>
        <v>9074.5773123231993</v>
      </c>
      <c r="AL9" s="414">
        <f t="shared" si="8"/>
        <v>126970.034832</v>
      </c>
      <c r="AM9" s="417">
        <f>H9*0.35</f>
        <v>4937.7235768</v>
      </c>
      <c r="AN9" s="414">
        <f>$H$9-$M$9-AM9</f>
        <v>9074.5773123231993</v>
      </c>
      <c r="AO9" s="414">
        <f t="shared" si="9"/>
        <v>141077.81648000001</v>
      </c>
      <c r="AP9" s="417">
        <f t="shared" si="18"/>
        <v>4937.7235768</v>
      </c>
      <c r="AQ9" s="414">
        <f>$H$9-$M$9-AP9</f>
        <v>9074.5773123231993</v>
      </c>
      <c r="AR9" s="414">
        <f t="shared" si="10"/>
        <v>155185.59812800001</v>
      </c>
      <c r="AS9" s="417">
        <f t="shared" si="19"/>
        <v>4937.7235768</v>
      </c>
      <c r="AT9" s="414">
        <f>$H$9-$M$9-AS9</f>
        <v>9074.5773123231993</v>
      </c>
      <c r="AU9" s="414">
        <f t="shared" si="11"/>
        <v>169293.37977599999</v>
      </c>
      <c r="AV9" s="417">
        <f t="shared" si="23"/>
        <v>4937.7235768</v>
      </c>
      <c r="AW9" s="414">
        <f>$H$9-$M$9-AV9</f>
        <v>9074.5773123231993</v>
      </c>
      <c r="AX9" s="371"/>
    </row>
    <row r="10" spans="1:50" s="233" customFormat="1" ht="30" customHeight="1" x14ac:dyDescent="0.45">
      <c r="A10" s="742"/>
      <c r="B10" s="409" t="s">
        <v>233</v>
      </c>
      <c r="C10" s="410">
        <v>400</v>
      </c>
      <c r="D10" s="411">
        <v>6661</v>
      </c>
      <c r="E10" s="411">
        <v>13322.72</v>
      </c>
      <c r="F10" s="411">
        <f t="shared" si="24"/>
        <v>19983.72</v>
      </c>
      <c r="G10" s="276">
        <v>359</v>
      </c>
      <c r="H10" s="412">
        <f t="shared" si="21"/>
        <v>12620.966096</v>
      </c>
      <c r="I10" s="396">
        <v>0.51</v>
      </c>
      <c r="J10" s="397">
        <v>8900</v>
      </c>
      <c r="K10" s="361">
        <f t="shared" si="12"/>
        <v>8952.1268528330656</v>
      </c>
      <c r="L10" s="361">
        <f t="shared" si="0"/>
        <v>9625.9428525086714</v>
      </c>
      <c r="M10" s="413">
        <f t="shared" si="13"/>
        <v>85.667776233599994</v>
      </c>
      <c r="N10" s="414">
        <f t="shared" si="14"/>
        <v>12620.966096</v>
      </c>
      <c r="O10" s="415">
        <f t="shared" si="25"/>
        <v>2024.1932191999999</v>
      </c>
      <c r="P10" s="414">
        <f>$H$10-$M$10-O10</f>
        <v>10511.105100566399</v>
      </c>
      <c r="Q10" s="414">
        <f t="shared" si="15"/>
        <v>25241.932192</v>
      </c>
      <c r="R10" s="416">
        <f>(Q10-25000)*0.27+(25000-N10)*0.2</f>
        <v>2541.1284726399999</v>
      </c>
      <c r="S10" s="414">
        <f>$H$10-$M$10-R10</f>
        <v>9994.169847126399</v>
      </c>
      <c r="T10" s="414">
        <f t="shared" si="1"/>
        <v>37862.898287999997</v>
      </c>
      <c r="U10" s="416">
        <f t="shared" si="26"/>
        <v>3407.6608459200002</v>
      </c>
      <c r="V10" s="414">
        <f>$H$10-$M$10-U10</f>
        <v>9127.6374738464001</v>
      </c>
      <c r="W10" s="414">
        <f t="shared" si="2"/>
        <v>50483.864384</v>
      </c>
      <c r="X10" s="416">
        <f t="shared" si="3"/>
        <v>3407.6608459200002</v>
      </c>
      <c r="Y10" s="414">
        <f>$H$10-$M$10-X10</f>
        <v>9127.6374738464001</v>
      </c>
      <c r="Z10" s="414">
        <f t="shared" si="4"/>
        <v>63104.830480000004</v>
      </c>
      <c r="AA10" s="416">
        <f t="shared" si="16"/>
        <v>3407.6608459200002</v>
      </c>
      <c r="AB10" s="414">
        <f>$H$10-$M$10-AA10</f>
        <v>9127.6374738464001</v>
      </c>
      <c r="AC10" s="414">
        <f t="shared" si="5"/>
        <v>75725.796575999993</v>
      </c>
      <c r="AD10" s="416">
        <f t="shared" si="17"/>
        <v>3407.6608459200002</v>
      </c>
      <c r="AE10" s="414">
        <f>$H$10-$M$10-AD10</f>
        <v>9127.6374738464001</v>
      </c>
      <c r="AF10" s="414">
        <f t="shared" si="6"/>
        <v>88346.762671999997</v>
      </c>
      <c r="AG10" s="417">
        <f>(AF10-88000)*0.35+(88000-AC10)*0.27</f>
        <v>3435.4018596800006</v>
      </c>
      <c r="AH10" s="414">
        <f>$H$10-$M$10-AG10</f>
        <v>9099.8964600863983</v>
      </c>
      <c r="AI10" s="414">
        <f t="shared" si="7"/>
        <v>100967.728768</v>
      </c>
      <c r="AJ10" s="417">
        <f>H10*0.35</f>
        <v>4417.3381335999993</v>
      </c>
      <c r="AK10" s="414">
        <f>$H$10-$M$10-AJ10</f>
        <v>8117.9601861664005</v>
      </c>
      <c r="AL10" s="414">
        <f t="shared" si="8"/>
        <v>113588.694864</v>
      </c>
      <c r="AM10" s="417">
        <f>H10*0.35</f>
        <v>4417.3381335999993</v>
      </c>
      <c r="AN10" s="414">
        <f>$H$10-$M$10-AM10</f>
        <v>8117.9601861664005</v>
      </c>
      <c r="AO10" s="414">
        <f t="shared" si="9"/>
        <v>126209.66096000001</v>
      </c>
      <c r="AP10" s="417">
        <f t="shared" si="18"/>
        <v>4417.3381335999993</v>
      </c>
      <c r="AQ10" s="414">
        <f>$H$10-$M$10-AP10</f>
        <v>8117.9601861664005</v>
      </c>
      <c r="AR10" s="414">
        <f t="shared" si="10"/>
        <v>138830.627056</v>
      </c>
      <c r="AS10" s="417">
        <f t="shared" si="19"/>
        <v>4417.3381335999993</v>
      </c>
      <c r="AT10" s="414">
        <f>$H$10-$M$10-AS10</f>
        <v>8117.9601861664005</v>
      </c>
      <c r="AU10" s="414">
        <f t="shared" si="11"/>
        <v>151451.59315199999</v>
      </c>
      <c r="AV10" s="417">
        <f t="shared" si="23"/>
        <v>4417.3381335999993</v>
      </c>
      <c r="AW10" s="414">
        <f>$H$10-$M$10-AV10</f>
        <v>8117.9601861664005</v>
      </c>
      <c r="AX10" s="371"/>
    </row>
    <row r="11" spans="1:50" s="233" customFormat="1" ht="30" customHeight="1" x14ac:dyDescent="0.45">
      <c r="A11" s="742"/>
      <c r="B11" s="418" t="s">
        <v>234</v>
      </c>
      <c r="C11" s="406">
        <v>300</v>
      </c>
      <c r="D11" s="411">
        <v>6661</v>
      </c>
      <c r="E11" s="419">
        <v>9992.0399999999991</v>
      </c>
      <c r="F11" s="419">
        <f t="shared" si="24"/>
        <v>16653.04</v>
      </c>
      <c r="G11" s="276">
        <v>359</v>
      </c>
      <c r="H11" s="412">
        <f t="shared" si="21"/>
        <v>10297.816795999999</v>
      </c>
      <c r="I11" s="396">
        <v>0.43</v>
      </c>
      <c r="J11" s="397">
        <v>7400</v>
      </c>
      <c r="K11" s="361">
        <f t="shared" si="12"/>
        <v>7457.4125932130655</v>
      </c>
      <c r="L11" s="361">
        <f t="shared" si="0"/>
        <v>8018.7232185086723</v>
      </c>
      <c r="M11" s="413">
        <f t="shared" si="13"/>
        <v>70.33499085359999</v>
      </c>
      <c r="N11" s="414">
        <f t="shared" si="14"/>
        <v>10297.816795999999</v>
      </c>
      <c r="O11" s="415">
        <f t="shared" si="25"/>
        <v>1559.5633591999999</v>
      </c>
      <c r="P11" s="414">
        <f>$H$11-$M$11-O11</f>
        <v>8667.9184459463995</v>
      </c>
      <c r="Q11" s="414">
        <f t="shared" si="15"/>
        <v>20595.633591999998</v>
      </c>
      <c r="R11" s="415">
        <f>H11*0.2</f>
        <v>2059.5633591999999</v>
      </c>
      <c r="S11" s="414">
        <f>$H$11-$M$11-R11</f>
        <v>8167.9184459463995</v>
      </c>
      <c r="T11" s="414">
        <f t="shared" si="1"/>
        <v>30893.450387999997</v>
      </c>
      <c r="U11" s="416">
        <f>(T11-25000)*0.27+(25000-Q11)*0.2</f>
        <v>2472.1048863599999</v>
      </c>
      <c r="V11" s="414">
        <f>$H$11-$M$11-U11</f>
        <v>7755.3769187863991</v>
      </c>
      <c r="W11" s="414">
        <f t="shared" si="2"/>
        <v>41191.267183999997</v>
      </c>
      <c r="X11" s="416">
        <f t="shared" si="3"/>
        <v>2780.4105349199999</v>
      </c>
      <c r="Y11" s="414">
        <f>$H$11-$M$11-X11</f>
        <v>7447.0712702263991</v>
      </c>
      <c r="Z11" s="414">
        <f t="shared" si="4"/>
        <v>51489.083979999996</v>
      </c>
      <c r="AA11" s="416">
        <f t="shared" si="16"/>
        <v>2780.4105349199999</v>
      </c>
      <c r="AB11" s="414">
        <f>$H$11-$M$11-AA11</f>
        <v>7447.0712702263991</v>
      </c>
      <c r="AC11" s="414">
        <f t="shared" si="5"/>
        <v>61786.900775999995</v>
      </c>
      <c r="AD11" s="416">
        <f t="shared" si="17"/>
        <v>2780.4105349199999</v>
      </c>
      <c r="AE11" s="414">
        <f>$H$11-$M$11-AD11</f>
        <v>7447.0712702263991</v>
      </c>
      <c r="AF11" s="414">
        <f t="shared" si="6"/>
        <v>72084.717571999994</v>
      </c>
      <c r="AG11" s="416">
        <f>H11*0.27</f>
        <v>2780.4105349199999</v>
      </c>
      <c r="AH11" s="414">
        <f>$H$11-$M$11-AG11</f>
        <v>7447.0712702263991</v>
      </c>
      <c r="AI11" s="414">
        <f t="shared" si="7"/>
        <v>82382.534367999993</v>
      </c>
      <c r="AJ11" s="416">
        <f>H11*0.27</f>
        <v>2780.4105349199999</v>
      </c>
      <c r="AK11" s="414">
        <f>$H$11-$M$11-AJ11</f>
        <v>7447.0712702263991</v>
      </c>
      <c r="AL11" s="414">
        <f t="shared" si="8"/>
        <v>92680.351163999992</v>
      </c>
      <c r="AM11" s="417">
        <f>(AL11-88000)*0.35+(88000-AI11)*0.27</f>
        <v>3154.8386280399991</v>
      </c>
      <c r="AN11" s="414">
        <f>$H$11-$M$11-AM11</f>
        <v>7072.6431771063999</v>
      </c>
      <c r="AO11" s="414">
        <f t="shared" si="9"/>
        <v>102978.16795999999</v>
      </c>
      <c r="AP11" s="417">
        <f t="shared" si="18"/>
        <v>3604.2358785999995</v>
      </c>
      <c r="AQ11" s="414">
        <f>$H$11-$M$11-AP11</f>
        <v>6623.2459265463995</v>
      </c>
      <c r="AR11" s="414">
        <f t="shared" si="10"/>
        <v>113275.98475599999</v>
      </c>
      <c r="AS11" s="417">
        <f t="shared" si="19"/>
        <v>3604.2358785999995</v>
      </c>
      <c r="AT11" s="414">
        <f>$H$11-$M$11-AS11</f>
        <v>6623.2459265463995</v>
      </c>
      <c r="AU11" s="414">
        <f t="shared" si="11"/>
        <v>123573.80155199999</v>
      </c>
      <c r="AV11" s="417">
        <f t="shared" si="23"/>
        <v>3604.2358785999995</v>
      </c>
      <c r="AW11" s="414">
        <f>$H$11-$M$11-AV11</f>
        <v>6623.2459265463995</v>
      </c>
      <c r="AX11" s="371"/>
    </row>
    <row r="12" spans="1:50" s="380" customFormat="1" ht="30" customHeight="1" x14ac:dyDescent="0.45">
      <c r="A12" s="742"/>
      <c r="B12" s="418" t="s">
        <v>236</v>
      </c>
      <c r="C12" s="406">
        <v>300</v>
      </c>
      <c r="D12" s="411">
        <v>6661</v>
      </c>
      <c r="E12" s="419">
        <v>9992.0399999999991</v>
      </c>
      <c r="F12" s="419">
        <f t="shared" si="24"/>
        <v>16653.04</v>
      </c>
      <c r="G12" s="276">
        <v>359</v>
      </c>
      <c r="H12" s="412">
        <f t="shared" si="21"/>
        <v>10019.03888</v>
      </c>
      <c r="I12" s="396">
        <v>0.4</v>
      </c>
      <c r="J12" s="397">
        <v>7200</v>
      </c>
      <c r="K12" s="361">
        <f t="shared" si="12"/>
        <v>7278.0468820586657</v>
      </c>
      <c r="L12" s="361">
        <f t="shared" si="0"/>
        <v>7825.8568624286727</v>
      </c>
      <c r="M12" s="413">
        <f t="shared" si="13"/>
        <v>68.495056607999999</v>
      </c>
      <c r="N12" s="414">
        <f t="shared" si="14"/>
        <v>10019.03888</v>
      </c>
      <c r="O12" s="421">
        <f t="shared" si="25"/>
        <v>1503.8077760000001</v>
      </c>
      <c r="P12" s="414">
        <f>$H$12-$M$12-O12</f>
        <v>8446.7360473919998</v>
      </c>
      <c r="Q12" s="414">
        <f t="shared" si="15"/>
        <v>20038.07776</v>
      </c>
      <c r="R12" s="421">
        <f>H12*0.2</f>
        <v>2003.8077760000001</v>
      </c>
      <c r="S12" s="414">
        <f>$H$12-$M$12-R12</f>
        <v>7946.7360473919998</v>
      </c>
      <c r="T12" s="414">
        <f t="shared" si="1"/>
        <v>30057.11664</v>
      </c>
      <c r="U12" s="422">
        <f>(T12-25000)*0.27+(25000-Q12)*0.2</f>
        <v>2357.8059407999999</v>
      </c>
      <c r="V12" s="414">
        <f>$H$12-$M$12-U12</f>
        <v>7592.7378825919996</v>
      </c>
      <c r="W12" s="414">
        <f t="shared" si="2"/>
        <v>40076.15552</v>
      </c>
      <c r="X12" s="422">
        <f t="shared" si="3"/>
        <v>2705.1404976000003</v>
      </c>
      <c r="Y12" s="414">
        <f>$H$12-$M$12-X12</f>
        <v>7245.4033257919991</v>
      </c>
      <c r="Z12" s="414">
        <f t="shared" si="4"/>
        <v>50095.1944</v>
      </c>
      <c r="AA12" s="422">
        <f t="shared" si="16"/>
        <v>2705.1404976000003</v>
      </c>
      <c r="AB12" s="414">
        <f>$H$12-$M$12-AA12</f>
        <v>7245.4033257919991</v>
      </c>
      <c r="AC12" s="414">
        <f t="shared" si="5"/>
        <v>60114.23328</v>
      </c>
      <c r="AD12" s="422">
        <f t="shared" si="17"/>
        <v>2705.1404976000003</v>
      </c>
      <c r="AE12" s="414">
        <f>$H$12-$M$12-AD12</f>
        <v>7245.4033257919991</v>
      </c>
      <c r="AF12" s="414">
        <f t="shared" si="6"/>
        <v>70133.272159999993</v>
      </c>
      <c r="AG12" s="422">
        <f>H12*0.27</f>
        <v>2705.1404976000003</v>
      </c>
      <c r="AH12" s="414">
        <f>$H$12-$M$12-AG12</f>
        <v>7245.4033257919991</v>
      </c>
      <c r="AI12" s="414">
        <f t="shared" si="7"/>
        <v>80152.311040000001</v>
      </c>
      <c r="AJ12" s="416">
        <f>H12*0.27</f>
        <v>2705.1404976000003</v>
      </c>
      <c r="AK12" s="414">
        <f>$H$12-$M$12-AJ12</f>
        <v>7245.4033257919991</v>
      </c>
      <c r="AL12" s="414">
        <f t="shared" si="8"/>
        <v>90171.349920000008</v>
      </c>
      <c r="AM12" s="417">
        <f>(AL12-88000)*0.35+(88000-AI12)*0.27</f>
        <v>2878.8484912000026</v>
      </c>
      <c r="AN12" s="414">
        <f>$H$12-$M$12-AM12</f>
        <v>7071.6953321919973</v>
      </c>
      <c r="AO12" s="414">
        <f t="shared" si="9"/>
        <v>100190.3888</v>
      </c>
      <c r="AP12" s="423">
        <f t="shared" si="18"/>
        <v>3506.6636079999998</v>
      </c>
      <c r="AQ12" s="414">
        <f>$H$12-$M$12-AP12</f>
        <v>6443.8802153919996</v>
      </c>
      <c r="AR12" s="414">
        <f t="shared" si="10"/>
        <v>110209.42767999999</v>
      </c>
      <c r="AS12" s="423">
        <f t="shared" si="19"/>
        <v>3506.6636079999998</v>
      </c>
      <c r="AT12" s="414">
        <f>$H$12-$M$12-AS12</f>
        <v>6443.8802153919996</v>
      </c>
      <c r="AU12" s="414">
        <f t="shared" si="11"/>
        <v>120228.46656</v>
      </c>
      <c r="AV12" s="423">
        <f t="shared" si="23"/>
        <v>3506.6636079999998</v>
      </c>
      <c r="AW12" s="414">
        <f>$H$12-$M$12-AV12</f>
        <v>6443.8802153919996</v>
      </c>
      <c r="AX12" s="384"/>
    </row>
    <row r="13" spans="1:50" s="233" customFormat="1" ht="30" customHeight="1" x14ac:dyDescent="0.45">
      <c r="A13" s="742"/>
      <c r="B13" s="418" t="s">
        <v>235</v>
      </c>
      <c r="C13" s="406">
        <v>300</v>
      </c>
      <c r="D13" s="411">
        <v>6661</v>
      </c>
      <c r="E13" s="419">
        <v>9992.0399999999991</v>
      </c>
      <c r="F13" s="419">
        <f t="shared" si="24"/>
        <v>16653.04</v>
      </c>
      <c r="G13" s="276">
        <v>359</v>
      </c>
      <c r="H13" s="412">
        <f t="shared" si="21"/>
        <v>9368.557076000001</v>
      </c>
      <c r="I13" s="396">
        <v>0.33</v>
      </c>
      <c r="J13" s="397">
        <v>6800</v>
      </c>
      <c r="K13" s="361">
        <f t="shared" si="12"/>
        <v>6859.5268893650682</v>
      </c>
      <c r="L13" s="361">
        <f t="shared" si="0"/>
        <v>7375.8353649086748</v>
      </c>
      <c r="M13" s="413">
        <f t="shared" si="13"/>
        <v>64.2018767016</v>
      </c>
      <c r="N13" s="414">
        <f t="shared" si="14"/>
        <v>9368.557076000001</v>
      </c>
      <c r="O13" s="420">
        <f>(N13*0.15)</f>
        <v>1405.2835614000001</v>
      </c>
      <c r="P13" s="414">
        <f>$H$13-$M$13-O13</f>
        <v>7899.0716378984016</v>
      </c>
      <c r="Q13" s="414">
        <f t="shared" si="15"/>
        <v>18737.114152000002</v>
      </c>
      <c r="R13" s="415">
        <f>(Q13-10000)*0.2+(10000-N13)*0.15</f>
        <v>1842.1392690000005</v>
      </c>
      <c r="S13" s="414">
        <f>$H$13-$M$13-R13</f>
        <v>7462.215930298401</v>
      </c>
      <c r="T13" s="414">
        <f t="shared" si="1"/>
        <v>28105.671228000003</v>
      </c>
      <c r="U13" s="416">
        <f>(T13-25000)*0.27+(25000-Q13)*0.2</f>
        <v>2091.1084011600005</v>
      </c>
      <c r="V13" s="414">
        <f>$H$13-$M$13-U13</f>
        <v>7213.2467981384007</v>
      </c>
      <c r="W13" s="414">
        <f t="shared" si="2"/>
        <v>37474.228304000004</v>
      </c>
      <c r="X13" s="416">
        <f t="shared" si="3"/>
        <v>2529.5104105200003</v>
      </c>
      <c r="Y13" s="414">
        <f>$H$13-$M$13-X13</f>
        <v>6774.8447887784005</v>
      </c>
      <c r="Z13" s="414">
        <f t="shared" si="4"/>
        <v>46842.785380000001</v>
      </c>
      <c r="AA13" s="416">
        <f t="shared" si="16"/>
        <v>2529.5104105200003</v>
      </c>
      <c r="AB13" s="414">
        <f>$H$13-$M$13-AA13</f>
        <v>6774.8447887784005</v>
      </c>
      <c r="AC13" s="414">
        <f t="shared" si="5"/>
        <v>56211.342456000006</v>
      </c>
      <c r="AD13" s="416">
        <f t="shared" si="17"/>
        <v>2529.5104105200003</v>
      </c>
      <c r="AE13" s="414">
        <f>$H$13-$M$13-AD13</f>
        <v>6774.8447887784005</v>
      </c>
      <c r="AF13" s="414">
        <f t="shared" si="6"/>
        <v>65579.89953200001</v>
      </c>
      <c r="AG13" s="416">
        <f>H13*0.27</f>
        <v>2529.5104105200003</v>
      </c>
      <c r="AH13" s="414">
        <f>$H$13-$M$13-AG13</f>
        <v>6774.8447887784005</v>
      </c>
      <c r="AI13" s="414">
        <f t="shared" si="7"/>
        <v>74948.456608000008</v>
      </c>
      <c r="AJ13" s="416">
        <f>H13*0.27</f>
        <v>2529.5104105200003</v>
      </c>
      <c r="AK13" s="414">
        <f>$H$13-$M$13-AJ13</f>
        <v>6774.8447887784005</v>
      </c>
      <c r="AL13" s="414">
        <f t="shared" si="8"/>
        <v>84317.013684000005</v>
      </c>
      <c r="AM13" s="416">
        <f>H13*0.27</f>
        <v>2529.5104105200003</v>
      </c>
      <c r="AN13" s="414">
        <f>$H$13-$M$13-AM13</f>
        <v>6774.8447887784005</v>
      </c>
      <c r="AO13" s="414">
        <f t="shared" si="9"/>
        <v>93685.570760000002</v>
      </c>
      <c r="AP13" s="417">
        <f>(AO13-88000)*0.35+(88000-AL13)*0.27</f>
        <v>2984.3560713199995</v>
      </c>
      <c r="AQ13" s="414">
        <f>$H$13-$M$13-AP13</f>
        <v>6319.9991279784017</v>
      </c>
      <c r="AR13" s="414">
        <f t="shared" si="10"/>
        <v>103054.12783600001</v>
      </c>
      <c r="AS13" s="417">
        <f t="shared" si="19"/>
        <v>3278.9949766</v>
      </c>
      <c r="AT13" s="414">
        <f>$H$13-$M$13-AS13</f>
        <v>6025.3602226984012</v>
      </c>
      <c r="AU13" s="414">
        <f t="shared" si="11"/>
        <v>112422.68491200001</v>
      </c>
      <c r="AV13" s="417">
        <f t="shared" si="23"/>
        <v>3278.9949766</v>
      </c>
      <c r="AW13" s="414">
        <f>$H$13-$M$13-AV13</f>
        <v>6025.3602226984012</v>
      </c>
      <c r="AX13" s="371"/>
    </row>
    <row r="14" spans="1:50" s="233" customFormat="1" ht="30" customHeight="1" x14ac:dyDescent="0.45">
      <c r="A14" s="742"/>
      <c r="B14" s="409" t="s">
        <v>216</v>
      </c>
      <c r="C14" s="410">
        <v>300</v>
      </c>
      <c r="D14" s="411">
        <v>6661</v>
      </c>
      <c r="E14" s="411">
        <v>9992.0399999999991</v>
      </c>
      <c r="F14" s="411">
        <f t="shared" si="24"/>
        <v>16653.04</v>
      </c>
      <c r="G14" s="276">
        <v>359</v>
      </c>
      <c r="H14" s="412">
        <f t="shared" si="21"/>
        <v>8811.0012439999991</v>
      </c>
      <c r="I14" s="396">
        <v>0.27</v>
      </c>
      <c r="J14" s="397">
        <v>6200</v>
      </c>
      <c r="K14" s="361">
        <f t="shared" si="12"/>
        <v>6500.7954670562658</v>
      </c>
      <c r="L14" s="361">
        <f t="shared" si="0"/>
        <v>6990.1026527486729</v>
      </c>
      <c r="M14" s="413">
        <f t="shared" si="13"/>
        <v>60.522008210399996</v>
      </c>
      <c r="N14" s="414">
        <f t="shared" si="14"/>
        <v>8811.0012439999991</v>
      </c>
      <c r="O14" s="420">
        <f>(N14*0.15)</f>
        <v>1321.6501865999999</v>
      </c>
      <c r="P14" s="414">
        <f>$H$14-$M$14-O14</f>
        <v>7428.8290491895987</v>
      </c>
      <c r="Q14" s="414">
        <f t="shared" si="15"/>
        <v>17622.002487999998</v>
      </c>
      <c r="R14" s="415">
        <f>(Q14-10000)*0.2+(10000-N14)*0.15</f>
        <v>1702.7503109999998</v>
      </c>
      <c r="S14" s="414">
        <f>$H$14-$M$14-R14</f>
        <v>7047.7289247895988</v>
      </c>
      <c r="T14" s="414">
        <f t="shared" si="1"/>
        <v>26433.003731999997</v>
      </c>
      <c r="U14" s="416">
        <f>(T14-25000)*0.27+(25000-Q14)*0.2</f>
        <v>1862.5105100399996</v>
      </c>
      <c r="V14" s="414">
        <f>$H$14-$M$14-U14</f>
        <v>6887.9687257495989</v>
      </c>
      <c r="W14" s="414">
        <f t="shared" si="2"/>
        <v>35244.004975999997</v>
      </c>
      <c r="X14" s="416">
        <f t="shared" si="3"/>
        <v>2378.9703358799998</v>
      </c>
      <c r="Y14" s="414">
        <f>$H$14-$M$14-X14</f>
        <v>6371.5088999095988</v>
      </c>
      <c r="Z14" s="414">
        <f t="shared" si="4"/>
        <v>44055.006219999996</v>
      </c>
      <c r="AA14" s="416">
        <f t="shared" si="16"/>
        <v>2378.9703358799998</v>
      </c>
      <c r="AB14" s="414">
        <f>$H$14-$M$14-AA14</f>
        <v>6371.5088999095988</v>
      </c>
      <c r="AC14" s="414">
        <f t="shared" si="5"/>
        <v>52866.007463999995</v>
      </c>
      <c r="AD14" s="416">
        <f t="shared" si="17"/>
        <v>2378.9703358799998</v>
      </c>
      <c r="AE14" s="414">
        <f>$H$14-$M$14-AD14</f>
        <v>6371.5088999095988</v>
      </c>
      <c r="AF14" s="414">
        <f t="shared" si="6"/>
        <v>61677.008707999994</v>
      </c>
      <c r="AG14" s="416">
        <f>H14*0.27</f>
        <v>2378.9703358799998</v>
      </c>
      <c r="AH14" s="414">
        <f>$H$14-$M$14-AG14</f>
        <v>6371.5088999095988</v>
      </c>
      <c r="AI14" s="414">
        <f t="shared" si="7"/>
        <v>70488.009951999993</v>
      </c>
      <c r="AJ14" s="416">
        <f>H14*0.27</f>
        <v>2378.9703358799998</v>
      </c>
      <c r="AK14" s="414">
        <f>$H$14-$M$14-AJ14</f>
        <v>6371.5088999095988</v>
      </c>
      <c r="AL14" s="414">
        <f t="shared" si="8"/>
        <v>79299.011195999992</v>
      </c>
      <c r="AM14" s="416">
        <f>H14*0.27</f>
        <v>2378.9703358799998</v>
      </c>
      <c r="AN14" s="414">
        <f>$H$14-$M$14-AM14</f>
        <v>6371.5088999095988</v>
      </c>
      <c r="AO14" s="414">
        <f t="shared" si="9"/>
        <v>88110.012439999991</v>
      </c>
      <c r="AP14" s="417">
        <f>(AO14-88000)*0.35+(88000-AL14)*0.27</f>
        <v>2387.7713310799991</v>
      </c>
      <c r="AQ14" s="414">
        <f>$H$14-$M$14-AP14</f>
        <v>6362.7079047095995</v>
      </c>
      <c r="AR14" s="414">
        <f t="shared" si="10"/>
        <v>96921.01368399999</v>
      </c>
      <c r="AS14" s="417">
        <f t="shared" si="19"/>
        <v>3083.8504353999997</v>
      </c>
      <c r="AT14" s="414">
        <f>$H$14-$M$14-AS14</f>
        <v>5666.6288003895988</v>
      </c>
      <c r="AU14" s="414">
        <f t="shared" si="11"/>
        <v>105732.01492799999</v>
      </c>
      <c r="AV14" s="417">
        <f t="shared" si="23"/>
        <v>3083.8504353999997</v>
      </c>
      <c r="AW14" s="414">
        <f>$H$14-$M$14-AV14</f>
        <v>5666.6288003895988</v>
      </c>
      <c r="AX14" s="371"/>
    </row>
    <row r="15" spans="1:50" s="233" customFormat="1" ht="30" customHeight="1" x14ac:dyDescent="0.45">
      <c r="A15" s="743" t="s">
        <v>15</v>
      </c>
      <c r="B15" s="418" t="s">
        <v>215</v>
      </c>
      <c r="C15" s="406">
        <v>600</v>
      </c>
      <c r="D15" s="419">
        <v>4996.0199999999995</v>
      </c>
      <c r="E15" s="419">
        <v>19984.079999999998</v>
      </c>
      <c r="F15" s="419">
        <f t="shared" si="24"/>
        <v>24980.1</v>
      </c>
      <c r="G15" s="276">
        <v>359</v>
      </c>
      <c r="H15" s="412">
        <f t="shared" si="21"/>
        <v>17274.952192000001</v>
      </c>
      <c r="I15" s="396">
        <v>0.68</v>
      </c>
      <c r="J15" s="397">
        <v>11900</v>
      </c>
      <c r="K15" s="361">
        <f t="shared" si="12"/>
        <v>11946.501506999464</v>
      </c>
      <c r="L15" s="361">
        <f t="shared" si="0"/>
        <v>12845.700545160713</v>
      </c>
      <c r="M15" s="413">
        <f t="shared" si="13"/>
        <v>116.3840844672</v>
      </c>
      <c r="N15" s="414">
        <f t="shared" si="14"/>
        <v>17274.952192000001</v>
      </c>
      <c r="O15" s="415">
        <f t="shared" si="25"/>
        <v>2954.9904384000001</v>
      </c>
      <c r="P15" s="414">
        <f>$H$15-$M$15-O15</f>
        <v>14203.577669132799</v>
      </c>
      <c r="Q15" s="414">
        <f t="shared" si="15"/>
        <v>34549.904384000001</v>
      </c>
      <c r="R15" s="416">
        <f>(Q15-25000)*0.27+(25000-N15)*0.2</f>
        <v>4123.4837452800002</v>
      </c>
      <c r="S15" s="414">
        <f>$H$15-$M$15-R15</f>
        <v>13035.084362252799</v>
      </c>
      <c r="T15" s="414">
        <f t="shared" si="1"/>
        <v>51824.856576000006</v>
      </c>
      <c r="U15" s="416">
        <f>H15*0.27</f>
        <v>4664.2370918400002</v>
      </c>
      <c r="V15" s="414">
        <f>$H$15-$M$15-U15</f>
        <v>12494.331015692798</v>
      </c>
      <c r="W15" s="414">
        <f t="shared" si="2"/>
        <v>69099.808768000003</v>
      </c>
      <c r="X15" s="416">
        <f t="shared" si="3"/>
        <v>4664.2370918400002</v>
      </c>
      <c r="Y15" s="414">
        <f>$H$15-$M$15-X15</f>
        <v>12494.331015692798</v>
      </c>
      <c r="Z15" s="414">
        <f t="shared" si="4"/>
        <v>86374.76096</v>
      </c>
      <c r="AA15" s="416">
        <f t="shared" si="16"/>
        <v>4664.2370918400002</v>
      </c>
      <c r="AB15" s="414">
        <f>$H$15-$M$15-AA15</f>
        <v>12494.331015692798</v>
      </c>
      <c r="AC15" s="414">
        <f t="shared" si="5"/>
        <v>103649.71315200001</v>
      </c>
      <c r="AD15" s="417">
        <f>(AC15-88000)*0.35+(88000-Z15)*0.27</f>
        <v>5916.2141440000032</v>
      </c>
      <c r="AE15" s="414">
        <f>$H$15-$M$15-AD15</f>
        <v>11242.353963532796</v>
      </c>
      <c r="AF15" s="414">
        <f t="shared" si="6"/>
        <v>120924.66534400001</v>
      </c>
      <c r="AG15" s="417">
        <f>H15*0.35</f>
        <v>6046.2332672000002</v>
      </c>
      <c r="AH15" s="414">
        <f>$H$15-$M$15-AG15</f>
        <v>11112.334840332798</v>
      </c>
      <c r="AI15" s="414">
        <f t="shared" si="7"/>
        <v>138199.61753600001</v>
      </c>
      <c r="AJ15" s="417">
        <f>H15*0.35</f>
        <v>6046.2332672000002</v>
      </c>
      <c r="AK15" s="414">
        <f>$H$15-$M$15-AJ15</f>
        <v>11112.334840332798</v>
      </c>
      <c r="AL15" s="414">
        <f t="shared" si="8"/>
        <v>155474.569728</v>
      </c>
      <c r="AM15" s="417">
        <f>H15*0.35</f>
        <v>6046.2332672000002</v>
      </c>
      <c r="AN15" s="414">
        <f>$H$15-$M$15-AM15</f>
        <v>11112.334840332798</v>
      </c>
      <c r="AO15" s="414">
        <f t="shared" si="9"/>
        <v>172749.52192</v>
      </c>
      <c r="AP15" s="417">
        <f>H15*0.35</f>
        <v>6046.2332672000002</v>
      </c>
      <c r="AQ15" s="414">
        <f>$H$15-$M$15-AP15</f>
        <v>11112.334840332798</v>
      </c>
      <c r="AR15" s="414">
        <f t="shared" si="10"/>
        <v>190024.474112</v>
      </c>
      <c r="AS15" s="417">
        <f t="shared" si="19"/>
        <v>6046.2332672000002</v>
      </c>
      <c r="AT15" s="414">
        <f>$H$15-$M$15-AS15</f>
        <v>11112.334840332798</v>
      </c>
      <c r="AU15" s="414">
        <f t="shared" si="11"/>
        <v>207299.42630400002</v>
      </c>
      <c r="AV15" s="417">
        <f t="shared" si="23"/>
        <v>6046.2332672000002</v>
      </c>
      <c r="AW15" s="414">
        <f>$H$15-$M$15-AV15</f>
        <v>11112.334840332798</v>
      </c>
      <c r="AX15" s="371"/>
    </row>
    <row r="16" spans="1:50" s="233" customFormat="1" ht="30" customHeight="1" x14ac:dyDescent="0.45">
      <c r="A16" s="743"/>
      <c r="B16" s="418" t="s">
        <v>214</v>
      </c>
      <c r="C16" s="406">
        <v>600</v>
      </c>
      <c r="D16" s="419">
        <v>4996.0199999999995</v>
      </c>
      <c r="E16" s="419">
        <v>19984.079999999998</v>
      </c>
      <c r="F16" s="419">
        <f t="shared" si="24"/>
        <v>24980.1</v>
      </c>
      <c r="G16" s="276">
        <v>359</v>
      </c>
      <c r="H16" s="412">
        <f t="shared" si="21"/>
        <v>11141.838039999999</v>
      </c>
      <c r="I16" s="396">
        <v>0.35</v>
      </c>
      <c r="J16" s="397">
        <v>8000</v>
      </c>
      <c r="K16" s="361">
        <f t="shared" si="12"/>
        <v>8000.4558616026688</v>
      </c>
      <c r="L16" s="361">
        <f t="shared" si="0"/>
        <v>8602.6407114007179</v>
      </c>
      <c r="M16" s="413">
        <f t="shared" si="13"/>
        <v>75.905531063999987</v>
      </c>
      <c r="N16" s="414">
        <f t="shared" si="14"/>
        <v>11141.838039999999</v>
      </c>
      <c r="O16" s="415">
        <f t="shared" si="25"/>
        <v>1728.3676079999998</v>
      </c>
      <c r="P16" s="414">
        <f>$H$16-$M$16-O16</f>
        <v>9337.5649009359986</v>
      </c>
      <c r="Q16" s="414">
        <f t="shared" si="15"/>
        <v>22283.676079999997</v>
      </c>
      <c r="R16" s="415">
        <f>H16*0.2</f>
        <v>2228.367608</v>
      </c>
      <c r="S16" s="414">
        <f>$H$16-$M$16-R16</f>
        <v>8837.5649009359986</v>
      </c>
      <c r="T16" s="414">
        <f t="shared" si="1"/>
        <v>33425.514119999993</v>
      </c>
      <c r="U16" s="416">
        <f>(T16-25000)*0.27+(25000-Q16)*0.2</f>
        <v>2818.1535963999986</v>
      </c>
      <c r="V16" s="414">
        <f>$H$16-$M$16-U16</f>
        <v>8247.7789125359996</v>
      </c>
      <c r="W16" s="414">
        <f t="shared" si="2"/>
        <v>44567.352159999995</v>
      </c>
      <c r="X16" s="416">
        <f t="shared" si="3"/>
        <v>3008.2962708</v>
      </c>
      <c r="Y16" s="414">
        <f>$H$16-$M$16-X16</f>
        <v>8057.6362381359995</v>
      </c>
      <c r="Z16" s="414">
        <f t="shared" si="4"/>
        <v>55709.190199999997</v>
      </c>
      <c r="AA16" s="416">
        <f t="shared" si="16"/>
        <v>3008.2962708</v>
      </c>
      <c r="AB16" s="414">
        <f>$H$16-$M$16-AA16</f>
        <v>8057.6362381359995</v>
      </c>
      <c r="AC16" s="414">
        <f t="shared" si="5"/>
        <v>66851.028239999985</v>
      </c>
      <c r="AD16" s="416">
        <f t="shared" ref="AD16:AD26" si="27">H16*0.27</f>
        <v>3008.2962708</v>
      </c>
      <c r="AE16" s="414">
        <f>$H$16-$M$16-AD16</f>
        <v>8057.6362381359995</v>
      </c>
      <c r="AF16" s="414">
        <f t="shared" si="6"/>
        <v>77992.866279999987</v>
      </c>
      <c r="AG16" s="416">
        <f>H16*0.27</f>
        <v>3008.2962708</v>
      </c>
      <c r="AH16" s="414">
        <f>$H$16-$M$16-AG16</f>
        <v>8057.6362381359995</v>
      </c>
      <c r="AI16" s="414">
        <f t="shared" si="7"/>
        <v>89134.70431999999</v>
      </c>
      <c r="AJ16" s="417">
        <f>(AI16-88000)*0.35+(88000-AF16)*0.27</f>
        <v>3099.0726163999998</v>
      </c>
      <c r="AK16" s="414">
        <f>$H$16-$M$16-AJ16</f>
        <v>7966.8598925359993</v>
      </c>
      <c r="AL16" s="414">
        <f t="shared" si="8"/>
        <v>100276.54235999999</v>
      </c>
      <c r="AM16" s="417">
        <f>H16*0.35</f>
        <v>3899.6433139999995</v>
      </c>
      <c r="AN16" s="414">
        <f>$H$16-$M$16-AM16</f>
        <v>7166.2891949360001</v>
      </c>
      <c r="AO16" s="414">
        <f t="shared" si="9"/>
        <v>111418.38039999999</v>
      </c>
      <c r="AP16" s="417">
        <f>H16*0.35</f>
        <v>3899.6433139999995</v>
      </c>
      <c r="AQ16" s="414">
        <f>$H$16-$M$16-AP16</f>
        <v>7166.2891949360001</v>
      </c>
      <c r="AR16" s="414">
        <f t="shared" si="10"/>
        <v>122560.21843999998</v>
      </c>
      <c r="AS16" s="417">
        <f t="shared" si="19"/>
        <v>3899.6433139999995</v>
      </c>
      <c r="AT16" s="414">
        <f>$H$16-$M$16-AS16</f>
        <v>7166.2891949360001</v>
      </c>
      <c r="AU16" s="414">
        <f t="shared" si="11"/>
        <v>133702.05647999997</v>
      </c>
      <c r="AV16" s="417">
        <f t="shared" si="23"/>
        <v>3899.6433139999995</v>
      </c>
      <c r="AW16" s="414">
        <f>$H$16-$M$16-AV16</f>
        <v>7166.2891949360001</v>
      </c>
      <c r="AX16" s="371"/>
    </row>
    <row r="17" spans="1:50" s="233" customFormat="1" ht="30" customHeight="1" x14ac:dyDescent="0.45">
      <c r="A17" s="743"/>
      <c r="B17" s="409" t="s">
        <v>213</v>
      </c>
      <c r="C17" s="410">
        <v>600</v>
      </c>
      <c r="D17" s="419">
        <v>4996.0199999999995</v>
      </c>
      <c r="E17" s="411">
        <v>19984.079999999998</v>
      </c>
      <c r="F17" s="411">
        <f t="shared" si="24"/>
        <v>24980.1</v>
      </c>
      <c r="G17" s="276">
        <v>359</v>
      </c>
      <c r="H17" s="412">
        <f t="shared" si="21"/>
        <v>9283.3185999999987</v>
      </c>
      <c r="I17" s="396">
        <v>0.25</v>
      </c>
      <c r="J17" s="397">
        <v>6804</v>
      </c>
      <c r="K17" s="361">
        <f t="shared" si="12"/>
        <v>6804.684453906666</v>
      </c>
      <c r="L17" s="361">
        <f t="shared" si="0"/>
        <v>7316.8650042007157</v>
      </c>
      <c r="M17" s="413">
        <f t="shared" si="13"/>
        <v>63.639302759999993</v>
      </c>
      <c r="N17" s="414">
        <f t="shared" si="14"/>
        <v>9283.3185999999987</v>
      </c>
      <c r="O17" s="420">
        <f>N17*0.15</f>
        <v>1392.4977899999997</v>
      </c>
      <c r="P17" s="414">
        <f>$H$17-$M$17-O17</f>
        <v>7827.1815072399986</v>
      </c>
      <c r="Q17" s="414">
        <f t="shared" si="15"/>
        <v>18566.637199999997</v>
      </c>
      <c r="R17" s="415">
        <f>(Q17-10000)*0.2+(10000-N17)*0.15</f>
        <v>1820.8296499999997</v>
      </c>
      <c r="S17" s="414">
        <f>$H$17-$M$17-R17</f>
        <v>7398.8496472399984</v>
      </c>
      <c r="T17" s="414">
        <f t="shared" si="1"/>
        <v>27849.955799999996</v>
      </c>
      <c r="U17" s="416">
        <f>(T17-25000)*0.27+(25000-Q17)*0.2</f>
        <v>2056.1606259999999</v>
      </c>
      <c r="V17" s="414">
        <f>$H$17-$M$17-U17</f>
        <v>7163.5186712399982</v>
      </c>
      <c r="W17" s="414">
        <f t="shared" si="2"/>
        <v>37133.274399999995</v>
      </c>
      <c r="X17" s="416">
        <f t="shared" si="3"/>
        <v>2506.4960219999998</v>
      </c>
      <c r="Y17" s="414">
        <f>$H$17-$M$17-X17</f>
        <v>6713.1832752399987</v>
      </c>
      <c r="Z17" s="414">
        <f t="shared" si="4"/>
        <v>46416.592999999993</v>
      </c>
      <c r="AA17" s="416">
        <f t="shared" si="16"/>
        <v>2506.4960219999998</v>
      </c>
      <c r="AB17" s="414">
        <f>$H$17-$M$17-AA17</f>
        <v>6713.1832752399987</v>
      </c>
      <c r="AC17" s="414">
        <f t="shared" si="5"/>
        <v>55699.911599999992</v>
      </c>
      <c r="AD17" s="416">
        <f t="shared" si="27"/>
        <v>2506.4960219999998</v>
      </c>
      <c r="AE17" s="414">
        <f>$H$17-$M$17-AD17</f>
        <v>6713.1832752399987</v>
      </c>
      <c r="AF17" s="414">
        <f t="shared" si="6"/>
        <v>64983.230199999991</v>
      </c>
      <c r="AG17" s="416">
        <f>H17*0.27</f>
        <v>2506.4960219999998</v>
      </c>
      <c r="AH17" s="414">
        <f>$H$17-$M$17-AG17</f>
        <v>6713.1832752399987</v>
      </c>
      <c r="AI17" s="414">
        <f t="shared" si="7"/>
        <v>74266.54879999999</v>
      </c>
      <c r="AJ17" s="416">
        <f>H17*0.27</f>
        <v>2506.4960219999998</v>
      </c>
      <c r="AK17" s="414">
        <f>$H$17-$M$17-AJ17</f>
        <v>6713.1832752399987</v>
      </c>
      <c r="AL17" s="414">
        <f t="shared" si="8"/>
        <v>83549.867399999988</v>
      </c>
      <c r="AM17" s="416">
        <f>H17*0.27</f>
        <v>2506.4960219999998</v>
      </c>
      <c r="AN17" s="414">
        <f>$H$17-$M$17-AM17</f>
        <v>6713.1832752399987</v>
      </c>
      <c r="AO17" s="414">
        <f t="shared" si="9"/>
        <v>92833.185999999987</v>
      </c>
      <c r="AP17" s="417">
        <f>(AO17-88000)*0.35+(88000-AL17)*0.27</f>
        <v>2893.1509019999985</v>
      </c>
      <c r="AQ17" s="414">
        <f>$H$17-$M$17-AP17</f>
        <v>6326.5283952399996</v>
      </c>
      <c r="AR17" s="414">
        <f t="shared" si="10"/>
        <v>102116.50459999999</v>
      </c>
      <c r="AS17" s="417">
        <f t="shared" si="19"/>
        <v>3249.1615099999995</v>
      </c>
      <c r="AT17" s="414">
        <f>$H$17-$M$17-AS17</f>
        <v>5970.5177872399981</v>
      </c>
      <c r="AU17" s="414">
        <f t="shared" si="11"/>
        <v>111399.82319999998</v>
      </c>
      <c r="AV17" s="417">
        <f t="shared" si="23"/>
        <v>3249.1615099999995</v>
      </c>
      <c r="AW17" s="414">
        <f>$H$17-$M$17-AV17</f>
        <v>5970.5177872399981</v>
      </c>
      <c r="AX17" s="371"/>
    </row>
    <row r="18" spans="1:50" s="233" customFormat="1" ht="30" customHeight="1" x14ac:dyDescent="0.45">
      <c r="A18" s="743"/>
      <c r="B18" s="418" t="s">
        <v>32</v>
      </c>
      <c r="C18" s="406">
        <v>450</v>
      </c>
      <c r="D18" s="419">
        <v>4996.0199999999995</v>
      </c>
      <c r="E18" s="419">
        <v>14988.06</v>
      </c>
      <c r="F18" s="419">
        <f t="shared" si="24"/>
        <v>19984.079999999998</v>
      </c>
      <c r="G18" s="276">
        <v>359</v>
      </c>
      <c r="H18" s="412">
        <f t="shared" si="21"/>
        <v>13557.913312000001</v>
      </c>
      <c r="I18" s="396">
        <v>0.64</v>
      </c>
      <c r="J18" s="397">
        <v>9500</v>
      </c>
      <c r="K18" s="361">
        <f t="shared" si="12"/>
        <v>9554.9586916074695</v>
      </c>
      <c r="L18" s="361">
        <f t="shared" si="0"/>
        <v>10274.149130760719</v>
      </c>
      <c r="M18" s="413">
        <f t="shared" si="13"/>
        <v>91.851627859200008</v>
      </c>
      <c r="N18" s="414">
        <f t="shared" si="14"/>
        <v>13557.913312000001</v>
      </c>
      <c r="O18" s="415">
        <f t="shared" si="25"/>
        <v>2211.5826624000001</v>
      </c>
      <c r="P18" s="414">
        <f>$H$18-$M$18-O18</f>
        <v>11254.479021740801</v>
      </c>
      <c r="Q18" s="414">
        <f t="shared" si="15"/>
        <v>27115.826624000001</v>
      </c>
      <c r="R18" s="416">
        <f>(Q18-25000)*0.27+(25000-N18)*0.2</f>
        <v>2859.6905260800004</v>
      </c>
      <c r="S18" s="414">
        <f>$H$18-$M$18-R18</f>
        <v>10606.3711580608</v>
      </c>
      <c r="T18" s="414">
        <f t="shared" si="1"/>
        <v>40673.739935999998</v>
      </c>
      <c r="U18" s="416">
        <f>H18*0.27</f>
        <v>3660.6365942400002</v>
      </c>
      <c r="V18" s="414">
        <f>$H$18-$M$18-U18</f>
        <v>9805.4250899008002</v>
      </c>
      <c r="W18" s="414">
        <f t="shared" si="2"/>
        <v>54231.653248000002</v>
      </c>
      <c r="X18" s="416">
        <f t="shared" si="3"/>
        <v>3660.6365942400002</v>
      </c>
      <c r="Y18" s="414">
        <f>$H$18-$M$18-X18</f>
        <v>9805.4250899008002</v>
      </c>
      <c r="Z18" s="414">
        <f t="shared" si="4"/>
        <v>67789.566560000007</v>
      </c>
      <c r="AA18" s="416">
        <f t="shared" si="16"/>
        <v>3660.6365942400002</v>
      </c>
      <c r="AB18" s="414">
        <f>$H$18-$M$18-AA18</f>
        <v>9805.4250899008002</v>
      </c>
      <c r="AC18" s="414">
        <f t="shared" si="5"/>
        <v>81347.479871999996</v>
      </c>
      <c r="AD18" s="416">
        <f t="shared" si="27"/>
        <v>3660.6365942400002</v>
      </c>
      <c r="AE18" s="414">
        <f>$H$18-$M$18-AD18</f>
        <v>9805.4250899008002</v>
      </c>
      <c r="AF18" s="414">
        <f t="shared" si="6"/>
        <v>94905.393184</v>
      </c>
      <c r="AG18" s="417">
        <f>(AF18-88000)*0.35+(88000-AC18)*0.27</f>
        <v>4213.0680489600018</v>
      </c>
      <c r="AH18" s="414">
        <f>$H$18-$M$18-AG18</f>
        <v>9252.9936351807992</v>
      </c>
      <c r="AI18" s="414">
        <f t="shared" si="7"/>
        <v>108463.306496</v>
      </c>
      <c r="AJ18" s="417">
        <f>H18*0.35</f>
        <v>4745.2696592000002</v>
      </c>
      <c r="AK18" s="414">
        <f>$H$18-$M$18-AJ18</f>
        <v>8720.7920249408016</v>
      </c>
      <c r="AL18" s="414">
        <f t="shared" si="8"/>
        <v>122021.21980800001</v>
      </c>
      <c r="AM18" s="417">
        <f>H18*0.35</f>
        <v>4745.2696592000002</v>
      </c>
      <c r="AN18" s="414">
        <f>$H$18-$M$18-AM18</f>
        <v>8720.7920249408016</v>
      </c>
      <c r="AO18" s="414">
        <f t="shared" si="9"/>
        <v>135579.13312000001</v>
      </c>
      <c r="AP18" s="417">
        <f>H18*0.35</f>
        <v>4745.2696592000002</v>
      </c>
      <c r="AQ18" s="414">
        <f>$H$18-$M$18-AP18</f>
        <v>8720.7920249408016</v>
      </c>
      <c r="AR18" s="414">
        <f t="shared" si="10"/>
        <v>149137.046432</v>
      </c>
      <c r="AS18" s="417">
        <f t="shared" si="19"/>
        <v>4745.2696592000002</v>
      </c>
      <c r="AT18" s="414">
        <f>$H$18-$M$18-AS18</f>
        <v>8720.7920249408016</v>
      </c>
      <c r="AU18" s="414">
        <f t="shared" si="11"/>
        <v>162694.95974399999</v>
      </c>
      <c r="AV18" s="417">
        <f t="shared" si="23"/>
        <v>4745.2696592000002</v>
      </c>
      <c r="AW18" s="414">
        <f>$H$18-$M$18-AV18</f>
        <v>8720.7920249408016</v>
      </c>
      <c r="AX18" s="371"/>
    </row>
    <row r="19" spans="1:50" s="233" customFormat="1" ht="30" customHeight="1" x14ac:dyDescent="0.45">
      <c r="A19" s="743"/>
      <c r="B19" s="418" t="s">
        <v>237</v>
      </c>
      <c r="C19" s="406">
        <v>450</v>
      </c>
      <c r="D19" s="419">
        <v>4996.0199999999995</v>
      </c>
      <c r="E19" s="419">
        <v>14988.06</v>
      </c>
      <c r="F19" s="419">
        <f t="shared" si="24"/>
        <v>19984.079999999998</v>
      </c>
      <c r="G19" s="276">
        <v>359</v>
      </c>
      <c r="H19" s="412">
        <f t="shared" si="21"/>
        <v>11745.856857999999</v>
      </c>
      <c r="I19" s="396">
        <v>0.51</v>
      </c>
      <c r="J19" s="397">
        <v>8300</v>
      </c>
      <c r="K19" s="361">
        <f t="shared" si="12"/>
        <v>8389.0815691038661</v>
      </c>
      <c r="L19" s="361">
        <f t="shared" si="0"/>
        <v>9020.5178162407155</v>
      </c>
      <c r="M19" s="413">
        <f t="shared" si="13"/>
        <v>79.8920552628</v>
      </c>
      <c r="N19" s="414">
        <f t="shared" si="14"/>
        <v>11745.856857999999</v>
      </c>
      <c r="O19" s="415">
        <f t="shared" si="25"/>
        <v>1849.1713715999999</v>
      </c>
      <c r="P19" s="414">
        <f>$H$19-$M$19-O19</f>
        <v>9816.7934311371991</v>
      </c>
      <c r="Q19" s="414">
        <f t="shared" si="15"/>
        <v>23491.713715999998</v>
      </c>
      <c r="R19" s="415">
        <f>H19*0.2</f>
        <v>2349.1713715999999</v>
      </c>
      <c r="S19" s="414">
        <f>$H$19-$M$19-R19</f>
        <v>9316.7934311371991</v>
      </c>
      <c r="T19" s="414">
        <f t="shared" si="1"/>
        <v>35237.570573999998</v>
      </c>
      <c r="U19" s="416">
        <f>(T19-25000)*0.27+(25000-Q19)*0.2</f>
        <v>3065.8013117799997</v>
      </c>
      <c r="V19" s="414">
        <f>$H$19-$M$19-U19</f>
        <v>8600.1634909571985</v>
      </c>
      <c r="W19" s="414">
        <f t="shared" si="2"/>
        <v>46983.427431999997</v>
      </c>
      <c r="X19" s="416">
        <f t="shared" si="3"/>
        <v>3171.3813516599998</v>
      </c>
      <c r="Y19" s="414">
        <f>$H$19-$M$19-X19</f>
        <v>8494.5834510771983</v>
      </c>
      <c r="Z19" s="414">
        <f t="shared" si="4"/>
        <v>58729.284289999996</v>
      </c>
      <c r="AA19" s="416">
        <f t="shared" si="16"/>
        <v>3171.3813516599998</v>
      </c>
      <c r="AB19" s="414">
        <f>$H$19-$M$19-AA19</f>
        <v>8494.5834510771983</v>
      </c>
      <c r="AC19" s="414">
        <f t="shared" si="5"/>
        <v>70475.141147999995</v>
      </c>
      <c r="AD19" s="416">
        <f t="shared" si="27"/>
        <v>3171.3813516599998</v>
      </c>
      <c r="AE19" s="414">
        <f>$H$19-$M$19-AD19</f>
        <v>8494.5834510771983</v>
      </c>
      <c r="AF19" s="414">
        <f t="shared" si="6"/>
        <v>82220.998005999994</v>
      </c>
      <c r="AG19" s="416">
        <f t="shared" ref="AG19:AG26" si="28">H19*0.27</f>
        <v>3171.3813516599998</v>
      </c>
      <c r="AH19" s="414">
        <f>$H$19-$M$19-AG19</f>
        <v>8494.5834510771983</v>
      </c>
      <c r="AI19" s="414">
        <f t="shared" si="7"/>
        <v>93966.854863999994</v>
      </c>
      <c r="AJ19" s="417">
        <f>(AI19-88000)*0.35+(88000-AF19)*0.27</f>
        <v>3648.7297407799992</v>
      </c>
      <c r="AK19" s="414">
        <f>$H$19-$M$19-AJ19</f>
        <v>8017.2350619571989</v>
      </c>
      <c r="AL19" s="414">
        <f t="shared" si="8"/>
        <v>105712.71172199999</v>
      </c>
      <c r="AM19" s="417">
        <f>H19*0.35</f>
        <v>4111.0499002999995</v>
      </c>
      <c r="AN19" s="414">
        <f>$H$19-$M$19-AM19</f>
        <v>7554.9149024371991</v>
      </c>
      <c r="AO19" s="414">
        <f t="shared" si="9"/>
        <v>117458.56857999999</v>
      </c>
      <c r="AP19" s="417">
        <f>H19*0.35</f>
        <v>4111.0499002999995</v>
      </c>
      <c r="AQ19" s="414">
        <f>$H$19-$M$19-AP19</f>
        <v>7554.9149024371991</v>
      </c>
      <c r="AR19" s="414">
        <f t="shared" si="10"/>
        <v>129204.42543799999</v>
      </c>
      <c r="AS19" s="417">
        <f t="shared" si="19"/>
        <v>4111.0499002999995</v>
      </c>
      <c r="AT19" s="414">
        <f>$H$19-$M$19-AS19</f>
        <v>7554.9149024371991</v>
      </c>
      <c r="AU19" s="414">
        <f t="shared" si="11"/>
        <v>140950.28229599999</v>
      </c>
      <c r="AV19" s="417">
        <f t="shared" si="23"/>
        <v>4111.0499002999995</v>
      </c>
      <c r="AW19" s="414">
        <f>$H$19-$M$19-AV19</f>
        <v>7554.9149024371991</v>
      </c>
      <c r="AX19" s="371"/>
    </row>
    <row r="20" spans="1:50" s="233" customFormat="1" ht="30" customHeight="1" x14ac:dyDescent="0.45">
      <c r="A20" s="743"/>
      <c r="B20" s="409" t="s">
        <v>238</v>
      </c>
      <c r="C20" s="410">
        <v>300</v>
      </c>
      <c r="D20" s="419">
        <v>4996.0199999999995</v>
      </c>
      <c r="E20" s="411">
        <v>9992.0399999999991</v>
      </c>
      <c r="F20" s="411">
        <f>D20+E20</f>
        <v>14988.059999999998</v>
      </c>
      <c r="G20" s="276">
        <v>359</v>
      </c>
      <c r="H20" s="412">
        <f t="shared" si="21"/>
        <v>10119.652348</v>
      </c>
      <c r="I20" s="396">
        <v>0.59</v>
      </c>
      <c r="J20" s="397">
        <v>7300</v>
      </c>
      <c r="K20" s="361">
        <f t="shared" si="12"/>
        <v>7342.7815873698664</v>
      </c>
      <c r="L20" s="361">
        <f t="shared" si="0"/>
        <v>7895.4640724407163</v>
      </c>
      <c r="M20" s="413">
        <f t="shared" si="13"/>
        <v>69.159105496799995</v>
      </c>
      <c r="N20" s="414">
        <f t="shared" si="14"/>
        <v>10119.652348</v>
      </c>
      <c r="O20" s="415">
        <f t="shared" si="25"/>
        <v>1523.9304695999999</v>
      </c>
      <c r="P20" s="414">
        <f>$H$20-$M$20-O20</f>
        <v>8526.5627729032003</v>
      </c>
      <c r="Q20" s="414">
        <f t="shared" si="15"/>
        <v>20239.304695999999</v>
      </c>
      <c r="R20" s="415">
        <f>H20*0.2</f>
        <v>2023.9304695999999</v>
      </c>
      <c r="S20" s="414">
        <f>$H$20-$M$20-R20</f>
        <v>8026.5627729032003</v>
      </c>
      <c r="T20" s="414">
        <f t="shared" si="1"/>
        <v>30358.957043999999</v>
      </c>
      <c r="U20" s="416">
        <f>(T20-25000)*0.27+(25000-Q20)*0.2</f>
        <v>2399.0574626799998</v>
      </c>
      <c r="V20" s="414">
        <f>$H$20-$M$20-U20</f>
        <v>7651.4357798232004</v>
      </c>
      <c r="W20" s="414">
        <f t="shared" si="2"/>
        <v>40478.609391999998</v>
      </c>
      <c r="X20" s="416">
        <f t="shared" si="3"/>
        <v>2732.3061339599999</v>
      </c>
      <c r="Y20" s="414">
        <f>$H$20-$M$20-X20</f>
        <v>7318.1871085432003</v>
      </c>
      <c r="Z20" s="414">
        <f t="shared" si="4"/>
        <v>50598.261740000002</v>
      </c>
      <c r="AA20" s="416">
        <f t="shared" si="16"/>
        <v>2732.3061339599999</v>
      </c>
      <c r="AB20" s="414">
        <f>$H$20-$M$20-AA20</f>
        <v>7318.1871085432003</v>
      </c>
      <c r="AC20" s="414">
        <f t="shared" si="5"/>
        <v>60717.914087999998</v>
      </c>
      <c r="AD20" s="416">
        <f t="shared" si="27"/>
        <v>2732.3061339599999</v>
      </c>
      <c r="AE20" s="414">
        <f>$H$20-$M$20-AD20</f>
        <v>7318.1871085432003</v>
      </c>
      <c r="AF20" s="414">
        <f t="shared" si="6"/>
        <v>70837.566435999994</v>
      </c>
      <c r="AG20" s="416">
        <f t="shared" si="28"/>
        <v>2732.3061339599999</v>
      </c>
      <c r="AH20" s="414">
        <f>$H$20-$M$20-AG20</f>
        <v>7318.1871085432003</v>
      </c>
      <c r="AI20" s="414">
        <f t="shared" si="7"/>
        <v>80957.218783999997</v>
      </c>
      <c r="AJ20" s="416">
        <f t="shared" ref="AJ20:AJ27" si="29">H20*0.27</f>
        <v>2732.3061339599999</v>
      </c>
      <c r="AK20" s="414">
        <f>$H$20-$M$20-AJ20</f>
        <v>7318.1871085432003</v>
      </c>
      <c r="AL20" s="414">
        <f t="shared" si="8"/>
        <v>91076.871132</v>
      </c>
      <c r="AM20" s="417">
        <f>(AL20-88000)*0.35+(88000-AI20)*0.27</f>
        <v>2978.455824520001</v>
      </c>
      <c r="AN20" s="414">
        <f>$H$20-$M$20-AM20</f>
        <v>7072.0374179831997</v>
      </c>
      <c r="AO20" s="414">
        <f t="shared" si="9"/>
        <v>101196.52348</v>
      </c>
      <c r="AP20" s="417">
        <f>H20*0.35</f>
        <v>3541.8783217999999</v>
      </c>
      <c r="AQ20" s="414">
        <f>$H$20-$M$20-AP20</f>
        <v>6508.6149207032004</v>
      </c>
      <c r="AR20" s="414">
        <f t="shared" si="10"/>
        <v>111316.17582799999</v>
      </c>
      <c r="AS20" s="417">
        <f t="shared" si="19"/>
        <v>3541.8783217999999</v>
      </c>
      <c r="AT20" s="414">
        <f>$H$20-$M$20-AS20</f>
        <v>6508.6149207032004</v>
      </c>
      <c r="AU20" s="414">
        <f t="shared" si="11"/>
        <v>121435.828176</v>
      </c>
      <c r="AV20" s="417">
        <f t="shared" si="23"/>
        <v>3541.8783217999999</v>
      </c>
      <c r="AW20" s="414">
        <f>$H$20-$M$20-AV20</f>
        <v>6508.6149207032004</v>
      </c>
      <c r="AX20" s="371"/>
    </row>
    <row r="21" spans="1:50" s="233" customFormat="1" ht="30" customHeight="1" x14ac:dyDescent="0.45">
      <c r="A21" s="743"/>
      <c r="B21" s="409" t="s">
        <v>240</v>
      </c>
      <c r="C21" s="410">
        <v>300</v>
      </c>
      <c r="D21" s="419">
        <v>4996.0199999999995</v>
      </c>
      <c r="E21" s="411">
        <v>9992.0399999999991</v>
      </c>
      <c r="F21" s="411">
        <f>D21+E21</f>
        <v>14988.059999999998</v>
      </c>
      <c r="G21" s="276">
        <v>359</v>
      </c>
      <c r="H21" s="412">
        <f t="shared" si="21"/>
        <v>9747.9484599999996</v>
      </c>
      <c r="I21" s="396">
        <v>0.55000000000000004</v>
      </c>
      <c r="J21" s="397">
        <v>7100</v>
      </c>
      <c r="K21" s="361">
        <f t="shared" si="12"/>
        <v>7103.627305830666</v>
      </c>
      <c r="L21" s="361">
        <f t="shared" si="0"/>
        <v>7638.3089310007153</v>
      </c>
      <c r="M21" s="413">
        <f t="shared" si="13"/>
        <v>66.705859836000002</v>
      </c>
      <c r="N21" s="414">
        <f t="shared" si="14"/>
        <v>9747.9484599999996</v>
      </c>
      <c r="O21" s="420">
        <f>N21*0.15</f>
        <v>1462.1922689999999</v>
      </c>
      <c r="P21" s="414">
        <f>$H$21-$M$21-O21</f>
        <v>8219.0503311640005</v>
      </c>
      <c r="Q21" s="414">
        <f t="shared" si="15"/>
        <v>19495.896919999999</v>
      </c>
      <c r="R21" s="415">
        <f>(Q21-10000)*0.2+(10000-N21)*0.15</f>
        <v>1936.9871150000001</v>
      </c>
      <c r="S21" s="414">
        <f>$H$21-$M$21-R21</f>
        <v>7744.2554851639998</v>
      </c>
      <c r="T21" s="414">
        <f t="shared" si="1"/>
        <v>29243.845379999999</v>
      </c>
      <c r="U21" s="416">
        <f>(T21-25000)*0.27+(25000-Q21)*0.2</f>
        <v>2246.6588686</v>
      </c>
      <c r="V21" s="414">
        <f>$H$21-$M$21-U21</f>
        <v>7434.5837315640001</v>
      </c>
      <c r="W21" s="414">
        <f t="shared" si="2"/>
        <v>38991.793839999998</v>
      </c>
      <c r="X21" s="416">
        <f t="shared" si="3"/>
        <v>2631.9460841999999</v>
      </c>
      <c r="Y21" s="414">
        <f>$H$21-$M$21-X21</f>
        <v>7049.2965159639998</v>
      </c>
      <c r="Z21" s="414">
        <f t="shared" si="4"/>
        <v>48739.742299999998</v>
      </c>
      <c r="AA21" s="416">
        <f t="shared" si="16"/>
        <v>2631.9460841999999</v>
      </c>
      <c r="AB21" s="414">
        <f>$H$21-$M$21-AA21</f>
        <v>7049.2965159639998</v>
      </c>
      <c r="AC21" s="414">
        <f t="shared" si="5"/>
        <v>58487.690759999998</v>
      </c>
      <c r="AD21" s="416">
        <f t="shared" si="27"/>
        <v>2631.9460841999999</v>
      </c>
      <c r="AE21" s="414">
        <f>$H$21-$M$21-AD21</f>
        <v>7049.2965159639998</v>
      </c>
      <c r="AF21" s="414">
        <f t="shared" si="6"/>
        <v>68235.639219999997</v>
      </c>
      <c r="AG21" s="416">
        <f t="shared" si="28"/>
        <v>2631.9460841999999</v>
      </c>
      <c r="AH21" s="414">
        <f>$H$21-$M$21-AG21</f>
        <v>7049.2965159639998</v>
      </c>
      <c r="AI21" s="414">
        <f t="shared" si="7"/>
        <v>77983.587679999997</v>
      </c>
      <c r="AJ21" s="416">
        <f t="shared" si="29"/>
        <v>2631.9460841999999</v>
      </c>
      <c r="AK21" s="414">
        <f>$H$21-$M$21-AJ21</f>
        <v>7049.2965159639998</v>
      </c>
      <c r="AL21" s="414">
        <f t="shared" si="8"/>
        <v>87731.536139999997</v>
      </c>
      <c r="AM21" s="416">
        <f>H21*0.27</f>
        <v>2631.9460841999999</v>
      </c>
      <c r="AN21" s="414">
        <f>$H$21-$M$21-AM21</f>
        <v>7049.2965159639998</v>
      </c>
      <c r="AO21" s="414">
        <f t="shared" si="9"/>
        <v>97479.484599999996</v>
      </c>
      <c r="AP21" s="417">
        <f>(AO21-88000)*0.35+(88000-AL21)*0.27</f>
        <v>3390.3048521999995</v>
      </c>
      <c r="AQ21" s="414">
        <f>$H$21-$M$21-AP21</f>
        <v>6290.9377479640007</v>
      </c>
      <c r="AR21" s="414">
        <f t="shared" si="10"/>
        <v>107227.43306</v>
      </c>
      <c r="AS21" s="417">
        <f t="shared" si="19"/>
        <v>3411.7819609999997</v>
      </c>
      <c r="AT21" s="414">
        <f>$H$21-$M$21-AS21</f>
        <v>6269.460639164</v>
      </c>
      <c r="AU21" s="414">
        <f t="shared" si="11"/>
        <v>116975.38152</v>
      </c>
      <c r="AV21" s="417">
        <f t="shared" si="23"/>
        <v>3411.7819609999997</v>
      </c>
      <c r="AW21" s="414">
        <f>$H$21-$M$21-AV21</f>
        <v>6269.460639164</v>
      </c>
      <c r="AX21" s="371"/>
    </row>
    <row r="22" spans="1:50" s="233" customFormat="1" ht="30" customHeight="1" x14ac:dyDescent="0.45">
      <c r="A22" s="743"/>
      <c r="B22" s="409" t="s">
        <v>239</v>
      </c>
      <c r="C22" s="410">
        <v>300</v>
      </c>
      <c r="D22" s="419">
        <v>4996.0199999999995</v>
      </c>
      <c r="E22" s="411">
        <v>9992.0399999999991</v>
      </c>
      <c r="F22" s="411">
        <f>D22+E22</f>
        <v>14988.059999999998</v>
      </c>
      <c r="G22" s="276">
        <v>359</v>
      </c>
      <c r="H22" s="412">
        <f t="shared" si="21"/>
        <v>9469.1705440000005</v>
      </c>
      <c r="I22" s="396">
        <v>0.52</v>
      </c>
      <c r="J22" s="397">
        <v>6900</v>
      </c>
      <c r="K22" s="361">
        <f t="shared" si="12"/>
        <v>6924.2615946762644</v>
      </c>
      <c r="L22" s="361">
        <f t="shared" si="0"/>
        <v>7445.4425749207139</v>
      </c>
      <c r="M22" s="413">
        <f t="shared" si="13"/>
        <v>64.865925590399996</v>
      </c>
      <c r="N22" s="414">
        <f t="shared" si="14"/>
        <v>9469.1705440000005</v>
      </c>
      <c r="O22" s="420">
        <f>N22*0.15</f>
        <v>1420.3755816</v>
      </c>
      <c r="P22" s="414">
        <f>$H$22-$M$22-O22</f>
        <v>7983.9290368095999</v>
      </c>
      <c r="Q22" s="414">
        <f t="shared" si="15"/>
        <v>18938.341088000001</v>
      </c>
      <c r="R22" s="415">
        <f>(Q22-10000)*0.2+(10000-N22)*0.15</f>
        <v>1867.2926360000004</v>
      </c>
      <c r="S22" s="414">
        <f>$H$22-$M$22-R22</f>
        <v>7537.0119824096</v>
      </c>
      <c r="T22" s="414">
        <f t="shared" si="1"/>
        <v>28407.511632000002</v>
      </c>
      <c r="U22" s="416">
        <f>(T22-25000)*0.27+(25000-Q22)*0.2</f>
        <v>2132.3599230400005</v>
      </c>
      <c r="V22" s="414">
        <f>$H$22-$M$22-U22</f>
        <v>7271.9446953695997</v>
      </c>
      <c r="W22" s="414">
        <f t="shared" si="2"/>
        <v>37876.682176000002</v>
      </c>
      <c r="X22" s="416">
        <f t="shared" si="3"/>
        <v>2556.6760468800003</v>
      </c>
      <c r="Y22" s="414">
        <f>$H$22-$M$22-X22</f>
        <v>6847.6285715295999</v>
      </c>
      <c r="Z22" s="414">
        <f t="shared" si="4"/>
        <v>47345.852720000003</v>
      </c>
      <c r="AA22" s="416">
        <f t="shared" si="16"/>
        <v>2556.6760468800003</v>
      </c>
      <c r="AB22" s="414">
        <f>$H$22-$M$22-AA22</f>
        <v>6847.6285715295999</v>
      </c>
      <c r="AC22" s="414">
        <f t="shared" si="5"/>
        <v>56815.023264000003</v>
      </c>
      <c r="AD22" s="416">
        <f t="shared" si="27"/>
        <v>2556.6760468800003</v>
      </c>
      <c r="AE22" s="414">
        <f>$H$22-$M$22-AD22</f>
        <v>6847.6285715295999</v>
      </c>
      <c r="AF22" s="414">
        <f t="shared" si="6"/>
        <v>66284.193808000011</v>
      </c>
      <c r="AG22" s="416">
        <f t="shared" si="28"/>
        <v>2556.6760468800003</v>
      </c>
      <c r="AH22" s="414">
        <f>$H$22-$M$22-AG22</f>
        <v>6847.6285715295999</v>
      </c>
      <c r="AI22" s="414">
        <f t="shared" si="7"/>
        <v>75753.364352000004</v>
      </c>
      <c r="AJ22" s="416">
        <f t="shared" si="29"/>
        <v>2556.6760468800003</v>
      </c>
      <c r="AK22" s="414">
        <f>$H$22-$M$22-AJ22</f>
        <v>6847.6285715295999</v>
      </c>
      <c r="AL22" s="414">
        <f t="shared" si="8"/>
        <v>85222.534895999997</v>
      </c>
      <c r="AM22" s="417">
        <f>(AL22-88000)*0.35+(88000-AI22)*0.27</f>
        <v>2334.4788385599982</v>
      </c>
      <c r="AN22" s="414">
        <f>$H$22-$M$22-AM22</f>
        <v>7069.8257798496015</v>
      </c>
      <c r="AO22" s="414">
        <f t="shared" si="9"/>
        <v>94691.705440000005</v>
      </c>
      <c r="AP22" s="417">
        <f>H22*0.35</f>
        <v>3314.2096904</v>
      </c>
      <c r="AQ22" s="414">
        <f>$H$22-$M$22-AP22</f>
        <v>6090.0949280096002</v>
      </c>
      <c r="AR22" s="414">
        <f t="shared" si="10"/>
        <v>104160.87598400001</v>
      </c>
      <c r="AS22" s="417">
        <f t="shared" si="19"/>
        <v>3314.2096904</v>
      </c>
      <c r="AT22" s="414">
        <f>$H$22-$M$22-AS22</f>
        <v>6090.0949280096002</v>
      </c>
      <c r="AU22" s="414">
        <f t="shared" si="11"/>
        <v>113630.04652800001</v>
      </c>
      <c r="AV22" s="417">
        <f t="shared" si="23"/>
        <v>3314.2096904</v>
      </c>
      <c r="AW22" s="414">
        <f>$H$22-$M$22-AV22</f>
        <v>6090.0949280096002</v>
      </c>
      <c r="AX22" s="371"/>
    </row>
    <row r="23" spans="1:50" s="233" customFormat="1" ht="30" customHeight="1" x14ac:dyDescent="0.45">
      <c r="A23" s="743"/>
      <c r="B23" s="424" t="s">
        <v>216</v>
      </c>
      <c r="C23" s="406">
        <v>300</v>
      </c>
      <c r="D23" s="419">
        <v>4996.0199999999995</v>
      </c>
      <c r="E23" s="419">
        <v>9992.0399999999991</v>
      </c>
      <c r="F23" s="419">
        <f>D23+E23</f>
        <v>14988.059999999998</v>
      </c>
      <c r="G23" s="276">
        <v>359</v>
      </c>
      <c r="H23" s="412">
        <f t="shared" si="21"/>
        <v>6402.6134679999996</v>
      </c>
      <c r="I23" s="398">
        <v>0.19</v>
      </c>
      <c r="J23" s="397">
        <v>4900</v>
      </c>
      <c r="K23" s="361">
        <f t="shared" si="12"/>
        <v>4876.7811827511987</v>
      </c>
      <c r="L23" s="361">
        <f t="shared" si="0"/>
        <v>5243.8507341410732</v>
      </c>
      <c r="M23" s="413">
        <f t="shared" si="13"/>
        <v>44.626648888799998</v>
      </c>
      <c r="N23" s="414">
        <f t="shared" si="14"/>
        <v>6402.6134679999996</v>
      </c>
      <c r="O23" s="420">
        <f>N23*0.15</f>
        <v>960.39202019999993</v>
      </c>
      <c r="P23" s="414">
        <f>$H$23-$M$23-O23</f>
        <v>5397.5947989111992</v>
      </c>
      <c r="Q23" s="414">
        <f t="shared" si="15"/>
        <v>12805.226935999999</v>
      </c>
      <c r="R23" s="415">
        <f>(Q23-10000)*0.2+(10000-N23)*0.15</f>
        <v>1100.6533669999999</v>
      </c>
      <c r="S23" s="414">
        <f>$H$23-$M$23-R23</f>
        <v>5257.3334521111992</v>
      </c>
      <c r="T23" s="414">
        <f t="shared" si="1"/>
        <v>19207.840403999999</v>
      </c>
      <c r="U23" s="416">
        <f>H23*0.2</f>
        <v>1280.5226935999999</v>
      </c>
      <c r="V23" s="414">
        <f>$H$23-$M$23-U23</f>
        <v>5077.4641255111992</v>
      </c>
      <c r="W23" s="414">
        <f t="shared" si="2"/>
        <v>25610.453871999998</v>
      </c>
      <c r="X23" s="416">
        <f>(W23-25000)*0.27+(25000-T23)*0.2</f>
        <v>1323.2544646399997</v>
      </c>
      <c r="Y23" s="414">
        <f>$H$23-$M$23-X23</f>
        <v>5034.7323544711999</v>
      </c>
      <c r="Z23" s="414">
        <f t="shared" si="4"/>
        <v>32013.067339999998</v>
      </c>
      <c r="AA23" s="416">
        <f t="shared" si="16"/>
        <v>1728.70563636</v>
      </c>
      <c r="AB23" s="414">
        <f>$H$23-$M$23-AA23</f>
        <v>4629.2811827511996</v>
      </c>
      <c r="AC23" s="414">
        <f t="shared" si="5"/>
        <v>38415.680807999997</v>
      </c>
      <c r="AD23" s="416">
        <f t="shared" si="27"/>
        <v>1728.70563636</v>
      </c>
      <c r="AE23" s="414">
        <f>$H$23-$M$23-AD23</f>
        <v>4629.2811827511996</v>
      </c>
      <c r="AF23" s="414">
        <f t="shared" si="6"/>
        <v>44818.294276000001</v>
      </c>
      <c r="AG23" s="416">
        <f t="shared" si="28"/>
        <v>1728.70563636</v>
      </c>
      <c r="AH23" s="414">
        <f>$H$23-$M$23-AG23</f>
        <v>4629.2811827511996</v>
      </c>
      <c r="AI23" s="414">
        <f t="shared" si="7"/>
        <v>51220.907743999996</v>
      </c>
      <c r="AJ23" s="416">
        <f t="shared" si="29"/>
        <v>1728.70563636</v>
      </c>
      <c r="AK23" s="414">
        <f>$H$23-$M$23-AJ23</f>
        <v>4629.2811827511996</v>
      </c>
      <c r="AL23" s="414">
        <f t="shared" si="8"/>
        <v>57623.521211999992</v>
      </c>
      <c r="AM23" s="416">
        <f>H23*0.27</f>
        <v>1728.70563636</v>
      </c>
      <c r="AN23" s="414">
        <f>$H$23-$M$23-AM23</f>
        <v>4629.2811827511996</v>
      </c>
      <c r="AO23" s="414">
        <f t="shared" si="9"/>
        <v>64026.134679999996</v>
      </c>
      <c r="AP23" s="416">
        <f>H23*0.27</f>
        <v>1728.70563636</v>
      </c>
      <c r="AQ23" s="414">
        <f>$H$23-$M$23-AP23</f>
        <v>4629.2811827511996</v>
      </c>
      <c r="AR23" s="414">
        <f t="shared" si="10"/>
        <v>70428.748147999999</v>
      </c>
      <c r="AS23" s="416">
        <f>H23*0.27</f>
        <v>1728.70563636</v>
      </c>
      <c r="AT23" s="414">
        <f>$H$23-$M$23-AS23</f>
        <v>4629.2811827511996</v>
      </c>
      <c r="AU23" s="414">
        <f t="shared" si="11"/>
        <v>76831.361615999995</v>
      </c>
      <c r="AV23" s="416">
        <f t="shared" ref="AV23:AV27" si="30">H23*0.27</f>
        <v>1728.70563636</v>
      </c>
      <c r="AW23" s="414">
        <f>$H$23-$M$23-AV23</f>
        <v>4629.2811827511996</v>
      </c>
      <c r="AX23" s="371"/>
    </row>
    <row r="24" spans="1:50" s="233" customFormat="1" ht="30" customHeight="1" x14ac:dyDescent="0.45">
      <c r="A24" s="744" t="s">
        <v>172</v>
      </c>
      <c r="B24" s="425" t="s">
        <v>282</v>
      </c>
      <c r="C24" s="426">
        <v>125</v>
      </c>
      <c r="D24" s="411">
        <v>3330.68</v>
      </c>
      <c r="E24" s="411">
        <v>4163.3499999999995</v>
      </c>
      <c r="F24" s="411">
        <f t="shared" ref="F24:F27" si="31">D24+E24</f>
        <v>7494.0299999999988</v>
      </c>
      <c r="G24" s="276">
        <v>359</v>
      </c>
      <c r="H24" s="412">
        <f t="shared" si="21"/>
        <v>6649.9997249999997</v>
      </c>
      <c r="I24" s="396">
        <v>0.95</v>
      </c>
      <c r="J24" s="397">
        <v>5000</v>
      </c>
      <c r="K24" s="361">
        <f t="shared" si="12"/>
        <v>5055.7404010649998</v>
      </c>
      <c r="L24" s="361">
        <f t="shared" si="0"/>
        <v>5436.2800011451609</v>
      </c>
      <c r="M24" s="413">
        <f t="shared" si="13"/>
        <v>46.259398184999995</v>
      </c>
      <c r="N24" s="414">
        <f t="shared" si="14"/>
        <v>6649.9997249999997</v>
      </c>
      <c r="O24" s="420">
        <f t="shared" ref="O24:O28" si="32">N24*0.15</f>
        <v>997.49995874999991</v>
      </c>
      <c r="P24" s="414">
        <f>$H$24-$M$24-O24</f>
        <v>5606.2403680650004</v>
      </c>
      <c r="Q24" s="414">
        <f t="shared" si="15"/>
        <v>13299.999449999999</v>
      </c>
      <c r="R24" s="415">
        <f>(Q24-10000)*0.2+(10000-N24)*0.15</f>
        <v>1162.4999312499999</v>
      </c>
      <c r="S24" s="414">
        <f>$H$24-$M$24-R24</f>
        <v>5441.2403955650007</v>
      </c>
      <c r="T24" s="414">
        <f t="shared" si="1"/>
        <v>19949.999174999997</v>
      </c>
      <c r="U24" s="415">
        <f>H24*0.2</f>
        <v>1329.999945</v>
      </c>
      <c r="V24" s="414">
        <f>$H$24-$M$24-U24</f>
        <v>5273.7403818149996</v>
      </c>
      <c r="W24" s="414">
        <f t="shared" si="2"/>
        <v>26599.998899999999</v>
      </c>
      <c r="X24" s="416">
        <f>(W24-25000)*0.27+(25000-T24)*0.2</f>
        <v>1441.9998680000003</v>
      </c>
      <c r="Y24" s="414">
        <f>$H$24-$M$24-X24</f>
        <v>5161.7404588150002</v>
      </c>
      <c r="Z24" s="414">
        <f t="shared" si="4"/>
        <v>33249.998625</v>
      </c>
      <c r="AA24" s="416">
        <f t="shared" si="16"/>
        <v>1795.4999257500001</v>
      </c>
      <c r="AB24" s="414">
        <f>$H$24-$M$24-AA24</f>
        <v>4808.2404010649998</v>
      </c>
      <c r="AC24" s="414">
        <f t="shared" si="5"/>
        <v>39899.998349999994</v>
      </c>
      <c r="AD24" s="416">
        <f t="shared" si="27"/>
        <v>1795.4999257500001</v>
      </c>
      <c r="AE24" s="414">
        <f>$H$24-$M$24-AD24</f>
        <v>4808.2404010649998</v>
      </c>
      <c r="AF24" s="414">
        <f t="shared" si="6"/>
        <v>46549.998074999996</v>
      </c>
      <c r="AG24" s="416">
        <f t="shared" si="28"/>
        <v>1795.4999257500001</v>
      </c>
      <c r="AH24" s="414">
        <f>$H$24-$M$24-AG24</f>
        <v>4808.2404010649998</v>
      </c>
      <c r="AI24" s="414">
        <f t="shared" si="7"/>
        <v>53199.997799999997</v>
      </c>
      <c r="AJ24" s="416">
        <f t="shared" si="29"/>
        <v>1795.4999257500001</v>
      </c>
      <c r="AK24" s="414">
        <f>$H$24-$M$24-AJ24</f>
        <v>4808.2404010649998</v>
      </c>
      <c r="AL24" s="414">
        <f t="shared" si="8"/>
        <v>59849.997524999999</v>
      </c>
      <c r="AM24" s="416">
        <f>H24*0.27</f>
        <v>1795.4999257500001</v>
      </c>
      <c r="AN24" s="414">
        <f>$H$24-$M$24-AM24</f>
        <v>4808.2404010649998</v>
      </c>
      <c r="AO24" s="414">
        <f t="shared" si="9"/>
        <v>66499.99725</v>
      </c>
      <c r="AP24" s="416">
        <f>H24*0.27</f>
        <v>1795.4999257500001</v>
      </c>
      <c r="AQ24" s="414">
        <f>$H$24-$M$24-AP24</f>
        <v>4808.2404010649998</v>
      </c>
      <c r="AR24" s="414">
        <f t="shared" si="10"/>
        <v>73149.996975000002</v>
      </c>
      <c r="AS24" s="416">
        <f>H24*0.27</f>
        <v>1795.4999257500001</v>
      </c>
      <c r="AT24" s="414">
        <f>$H$24-$M$24-AS24</f>
        <v>4808.2404010649998</v>
      </c>
      <c r="AU24" s="414">
        <f t="shared" si="11"/>
        <v>79799.996699999989</v>
      </c>
      <c r="AV24" s="416">
        <f t="shared" si="30"/>
        <v>1795.4999257500001</v>
      </c>
      <c r="AW24" s="414">
        <f>$H$24-$M$24-AV24</f>
        <v>4808.2404010649998</v>
      </c>
      <c r="AX24" s="371"/>
    </row>
    <row r="25" spans="1:50" s="233" customFormat="1" ht="30" customHeight="1" x14ac:dyDescent="0.45">
      <c r="A25" s="744"/>
      <c r="B25" s="425" t="s">
        <v>281</v>
      </c>
      <c r="C25" s="426">
        <v>125</v>
      </c>
      <c r="D25" s="411">
        <v>3330.68</v>
      </c>
      <c r="E25" s="411">
        <v>4163.3499999999995</v>
      </c>
      <c r="F25" s="411">
        <f t="shared" si="31"/>
        <v>7494.0299999999988</v>
      </c>
      <c r="G25" s="276">
        <v>359</v>
      </c>
      <c r="H25" s="412">
        <f t="shared" si="21"/>
        <v>5798.1783149999992</v>
      </c>
      <c r="I25" s="396">
        <v>0.73</v>
      </c>
      <c r="J25" s="397">
        <v>4500</v>
      </c>
      <c r="K25" s="361">
        <f>((P25+S25+V25+Y25+AB25+AE25+AH25+AK25+AN25+AQ25+AT25+AW25)/12)+60</f>
        <v>4526.521709532999</v>
      </c>
      <c r="L25" s="361">
        <f t="shared" si="0"/>
        <v>4867.2276446591386</v>
      </c>
      <c r="M25" s="413">
        <f t="shared" si="13"/>
        <v>40.637376878999994</v>
      </c>
      <c r="N25" s="414">
        <f t="shared" si="14"/>
        <v>5798.1783149999992</v>
      </c>
      <c r="O25" s="420">
        <f t="shared" si="32"/>
        <v>869.7267472499999</v>
      </c>
      <c r="P25" s="414">
        <f>$H$24-$M$24-O25</f>
        <v>5734.0135795650003</v>
      </c>
      <c r="Q25" s="414">
        <f t="shared" si="15"/>
        <v>11596.356629999998</v>
      </c>
      <c r="R25" s="415">
        <f>(Q25-10000)*0.2+(10000-N25)*0.15</f>
        <v>949.5445787499998</v>
      </c>
      <c r="S25" s="414">
        <f>H25-M25-R25</f>
        <v>4807.9963593709999</v>
      </c>
      <c r="T25" s="414">
        <f t="shared" si="1"/>
        <v>17394.534944999999</v>
      </c>
      <c r="U25" s="415">
        <f>H25*0.2</f>
        <v>1159.6356629999998</v>
      </c>
      <c r="V25" s="414">
        <f>H25-M25-U25</f>
        <v>4597.9052751209992</v>
      </c>
      <c r="W25" s="414">
        <f t="shared" si="2"/>
        <v>23192.713259999997</v>
      </c>
      <c r="X25" s="415">
        <f>H25*0.2</f>
        <v>1159.6356629999998</v>
      </c>
      <c r="Y25" s="414">
        <f>H25-M25-X25</f>
        <v>4597.9052751209992</v>
      </c>
      <c r="Z25" s="414">
        <f t="shared" si="4"/>
        <v>28990.891574999994</v>
      </c>
      <c r="AA25" s="416">
        <f>(Z25-25000)*0.27+(25000-W25)*0.2</f>
        <v>1438.9980732499992</v>
      </c>
      <c r="AB25" s="414">
        <f>H25-M25-AA25</f>
        <v>4318.5428648710003</v>
      </c>
      <c r="AC25" s="414">
        <f t="shared" si="5"/>
        <v>34789.069889999999</v>
      </c>
      <c r="AD25" s="416">
        <f t="shared" si="27"/>
        <v>1565.5081450499999</v>
      </c>
      <c r="AE25" s="414">
        <f>H25-M25-AD25</f>
        <v>4192.0327930709991</v>
      </c>
      <c r="AF25" s="414">
        <f t="shared" si="6"/>
        <v>40587.248204999996</v>
      </c>
      <c r="AG25" s="416">
        <f t="shared" si="28"/>
        <v>1565.5081450499999</v>
      </c>
      <c r="AH25" s="414">
        <f>H25-M25-AG25</f>
        <v>4192.0327930709991</v>
      </c>
      <c r="AI25" s="414">
        <f t="shared" si="7"/>
        <v>46385.426519999994</v>
      </c>
      <c r="AJ25" s="416">
        <f t="shared" si="29"/>
        <v>1565.5081450499999</v>
      </c>
      <c r="AK25" s="414">
        <f>H25-M25-AJ25</f>
        <v>4192.0327930709991</v>
      </c>
      <c r="AL25" s="414">
        <f t="shared" si="8"/>
        <v>52183.604834999991</v>
      </c>
      <c r="AM25" s="416">
        <f>H25*0.27</f>
        <v>1565.5081450499999</v>
      </c>
      <c r="AN25" s="414">
        <f>H25-M25-AM25</f>
        <v>4192.0327930709991</v>
      </c>
      <c r="AO25" s="414">
        <f t="shared" si="9"/>
        <v>57981.783149999988</v>
      </c>
      <c r="AP25" s="416">
        <f>H25*0.27</f>
        <v>1565.5081450499999</v>
      </c>
      <c r="AQ25" s="414">
        <f>H25-M25-$AP$26</f>
        <v>4389.7004019209999</v>
      </c>
      <c r="AR25" s="414">
        <f t="shared" si="10"/>
        <v>63779.961464999993</v>
      </c>
      <c r="AS25" s="416">
        <f>H25*0.27</f>
        <v>1565.5081450499999</v>
      </c>
      <c r="AT25" s="414">
        <f>H25-M25-AS25</f>
        <v>4192.0327930709991</v>
      </c>
      <c r="AU25" s="414">
        <f t="shared" si="11"/>
        <v>69578.139779999998</v>
      </c>
      <c r="AV25" s="416">
        <f t="shared" si="30"/>
        <v>1565.5081450499999</v>
      </c>
      <c r="AW25" s="414">
        <f>H25-M25-AV25</f>
        <v>4192.0327930709991</v>
      </c>
      <c r="AX25" s="371"/>
    </row>
    <row r="26" spans="1:50" s="233" customFormat="1" ht="30" customHeight="1" x14ac:dyDescent="0.45">
      <c r="A26" s="744"/>
      <c r="B26" s="427" t="s">
        <v>241</v>
      </c>
      <c r="C26" s="428">
        <v>125</v>
      </c>
      <c r="D26" s="419">
        <v>3330.68</v>
      </c>
      <c r="E26" s="419">
        <v>4163.3499999999995</v>
      </c>
      <c r="F26" s="419">
        <f t="shared" si="31"/>
        <v>7494.0299999999988</v>
      </c>
      <c r="G26" s="276">
        <v>278</v>
      </c>
      <c r="H26" s="412">
        <f>D26+E26*$H$5*$I26-G26</f>
        <v>5066.0760599999994</v>
      </c>
      <c r="I26" s="398">
        <v>0.52</v>
      </c>
      <c r="J26" s="397">
        <v>4000</v>
      </c>
      <c r="K26" s="361">
        <f t="shared" si="12"/>
        <v>3910.4646218039993</v>
      </c>
      <c r="L26" s="361">
        <f t="shared" si="0"/>
        <v>4204.8006686064509</v>
      </c>
      <c r="M26" s="413">
        <f t="shared" si="13"/>
        <v>35.270901995999999</v>
      </c>
      <c r="N26" s="414">
        <f t="shared" si="14"/>
        <v>5066.0760599999994</v>
      </c>
      <c r="O26" s="420">
        <f t="shared" si="32"/>
        <v>759.91140899999994</v>
      </c>
      <c r="P26" s="414">
        <f>H26-M26-O26</f>
        <v>4270.8937490039989</v>
      </c>
      <c r="Q26" s="414">
        <f t="shared" si="15"/>
        <v>10132.152119999999</v>
      </c>
      <c r="R26" s="415">
        <f t="shared" ref="R26" si="33">(Q26-10000)*0.2+(10000-N26)*0.15</f>
        <v>766.51901499999985</v>
      </c>
      <c r="S26" s="414">
        <f>H26-M26-R26</f>
        <v>4264.2861430039993</v>
      </c>
      <c r="T26" s="414">
        <f t="shared" si="1"/>
        <v>15198.228179999998</v>
      </c>
      <c r="U26" s="415">
        <f>H26*0.2</f>
        <v>1013.215212</v>
      </c>
      <c r="V26" s="414">
        <f>H26-M26-U26</f>
        <v>4017.5899460039991</v>
      </c>
      <c r="W26" s="414">
        <f t="shared" si="2"/>
        <v>20264.304239999998</v>
      </c>
      <c r="X26" s="415">
        <f>H26*0.2</f>
        <v>1013.215212</v>
      </c>
      <c r="Y26" s="414">
        <f>H26-M26-X26</f>
        <v>4017.5899460039991</v>
      </c>
      <c r="Z26" s="414">
        <f t="shared" si="4"/>
        <v>25330.380299999997</v>
      </c>
      <c r="AA26" s="416">
        <f>(Z26-25000)*0.27+(25000-W26)*0.2</f>
        <v>1036.3418329999997</v>
      </c>
      <c r="AB26" s="414">
        <f>H26-M26-AA26</f>
        <v>3994.4633250039997</v>
      </c>
      <c r="AC26" s="414">
        <f t="shared" si="5"/>
        <v>30396.456359999996</v>
      </c>
      <c r="AD26" s="416">
        <f t="shared" si="27"/>
        <v>1367.8405361999999</v>
      </c>
      <c r="AE26" s="414">
        <f>H26-M26-AD26</f>
        <v>3662.9646218039993</v>
      </c>
      <c r="AF26" s="414">
        <f t="shared" si="6"/>
        <v>35462.532419999996</v>
      </c>
      <c r="AG26" s="416">
        <f t="shared" si="28"/>
        <v>1367.8405361999999</v>
      </c>
      <c r="AH26" s="414">
        <f>H26-M26-AG26</f>
        <v>3662.9646218039993</v>
      </c>
      <c r="AI26" s="414">
        <f t="shared" si="7"/>
        <v>40528.608479999995</v>
      </c>
      <c r="AJ26" s="416">
        <f t="shared" si="29"/>
        <v>1367.8405361999999</v>
      </c>
      <c r="AK26" s="414">
        <f>H26-M26-AJ26</f>
        <v>3662.9646218039993</v>
      </c>
      <c r="AL26" s="414">
        <f t="shared" si="8"/>
        <v>45594.684539999995</v>
      </c>
      <c r="AM26" s="416">
        <f>H26*0.27</f>
        <v>1367.8405361999999</v>
      </c>
      <c r="AN26" s="414">
        <f>H26-M26-AM26</f>
        <v>3662.9646218039993</v>
      </c>
      <c r="AO26" s="414">
        <f t="shared" si="9"/>
        <v>50660.760599999994</v>
      </c>
      <c r="AP26" s="416">
        <f>H26*0.27</f>
        <v>1367.8405361999999</v>
      </c>
      <c r="AQ26" s="414">
        <f>H26-M26-$AP$26</f>
        <v>3662.9646218039993</v>
      </c>
      <c r="AR26" s="414">
        <f t="shared" si="10"/>
        <v>55726.836659999994</v>
      </c>
      <c r="AS26" s="416">
        <f>H26*0.27</f>
        <v>1367.8405361999999</v>
      </c>
      <c r="AT26" s="414">
        <f>H26-M26-AS26</f>
        <v>3662.9646218039993</v>
      </c>
      <c r="AU26" s="414">
        <f t="shared" si="11"/>
        <v>60792.912719999993</v>
      </c>
      <c r="AV26" s="416">
        <f t="shared" si="30"/>
        <v>1367.8405361999999</v>
      </c>
      <c r="AW26" s="414">
        <f>H26-M26-AV26</f>
        <v>3662.9646218039993</v>
      </c>
      <c r="AX26" s="371"/>
    </row>
    <row r="27" spans="1:50" s="233" customFormat="1" ht="30" customHeight="1" x14ac:dyDescent="0.45">
      <c r="A27" s="744"/>
      <c r="B27" s="424" t="s">
        <v>198</v>
      </c>
      <c r="C27" s="426">
        <v>125</v>
      </c>
      <c r="D27" s="411">
        <v>3330.68</v>
      </c>
      <c r="E27" s="411">
        <v>4163.3499999999995</v>
      </c>
      <c r="F27" s="411">
        <f t="shared" si="31"/>
        <v>7494.0299999999988</v>
      </c>
      <c r="G27" s="276">
        <v>278</v>
      </c>
      <c r="H27" s="412">
        <f t="shared" si="21"/>
        <v>3749.6247899999998</v>
      </c>
      <c r="I27" s="398">
        <v>0.18</v>
      </c>
      <c r="J27" s="397">
        <v>3000</v>
      </c>
      <c r="K27" s="361">
        <f t="shared" si="12"/>
        <v>2928.5236195109992</v>
      </c>
      <c r="L27" s="361">
        <f t="shared" si="0"/>
        <v>3148.9501285064507</v>
      </c>
      <c r="M27" s="413">
        <f t="shared" si="13"/>
        <v>26.582323614</v>
      </c>
      <c r="N27" s="414">
        <f t="shared" si="14"/>
        <v>3749.6247899999998</v>
      </c>
      <c r="O27" s="420">
        <f t="shared" si="32"/>
        <v>562.44371849999993</v>
      </c>
      <c r="P27" s="414">
        <f>H27-M27-O27</f>
        <v>3160.5987478859997</v>
      </c>
      <c r="Q27" s="414">
        <f t="shared" si="15"/>
        <v>7499.2495799999997</v>
      </c>
      <c r="R27" s="420">
        <f>H27*0.15</f>
        <v>562.44371849999993</v>
      </c>
      <c r="S27" s="414">
        <f>H27-M27-R27</f>
        <v>3160.5987478859997</v>
      </c>
      <c r="T27" s="414">
        <f t="shared" si="1"/>
        <v>11248.87437</v>
      </c>
      <c r="U27" s="415">
        <f>(T27-10000)*0.2+(10000-Q27)*0.15</f>
        <v>624.88743699999998</v>
      </c>
      <c r="V27" s="414">
        <f>H27-M27-U27</f>
        <v>3098.155029386</v>
      </c>
      <c r="W27" s="414">
        <f t="shared" si="2"/>
        <v>14998.499159999999</v>
      </c>
      <c r="X27" s="415">
        <f>H27*0.2</f>
        <v>749.92495800000006</v>
      </c>
      <c r="Y27" s="414">
        <f>H27-M27-X27</f>
        <v>2973.1175083859998</v>
      </c>
      <c r="Z27" s="414">
        <f t="shared" si="4"/>
        <v>18748.123950000001</v>
      </c>
      <c r="AA27" s="415">
        <f>H27*0.2</f>
        <v>749.92495800000006</v>
      </c>
      <c r="AB27" s="414">
        <f>H27-M27-AA27</f>
        <v>2973.1175083859998</v>
      </c>
      <c r="AC27" s="414">
        <f t="shared" si="5"/>
        <v>22497.748739999999</v>
      </c>
      <c r="AD27" s="415">
        <f>H27*0.2</f>
        <v>749.92495800000006</v>
      </c>
      <c r="AE27" s="414">
        <f>H27-M27-AD27</f>
        <v>2973.1175083859998</v>
      </c>
      <c r="AF27" s="414">
        <f t="shared" si="6"/>
        <v>26247.373529999997</v>
      </c>
      <c r="AG27" s="416">
        <f>(AF27-25000)*0.27+(25000-AC27)*0.2</f>
        <v>837.24110509999946</v>
      </c>
      <c r="AH27" s="414">
        <f>H27-M27-AG27</f>
        <v>2885.8013612860004</v>
      </c>
      <c r="AI27" s="414">
        <f t="shared" si="7"/>
        <v>29996.998319999999</v>
      </c>
      <c r="AJ27" s="416">
        <f t="shared" si="29"/>
        <v>1012.3986933</v>
      </c>
      <c r="AK27" s="414">
        <f>H27-M27-AJ27</f>
        <v>2710.6437730859998</v>
      </c>
      <c r="AL27" s="414">
        <f t="shared" si="8"/>
        <v>33746.62311</v>
      </c>
      <c r="AM27" s="416">
        <f>H27*0.27</f>
        <v>1012.3986933</v>
      </c>
      <c r="AN27" s="414">
        <f>H27-M27-AM27</f>
        <v>2710.6437730859998</v>
      </c>
      <c r="AO27" s="414">
        <f t="shared" si="9"/>
        <v>37496.247900000002</v>
      </c>
      <c r="AP27" s="416">
        <f>H27*0.27</f>
        <v>1012.3986933</v>
      </c>
      <c r="AQ27" s="414">
        <f>H27-M27-$AP$26</f>
        <v>2355.201930186</v>
      </c>
      <c r="AR27" s="414">
        <f t="shared" si="10"/>
        <v>41245.872689999997</v>
      </c>
      <c r="AS27" s="416">
        <f>H27*0.27</f>
        <v>1012.3986933</v>
      </c>
      <c r="AT27" s="414">
        <f>H27-M27-AS27</f>
        <v>2710.6437730859998</v>
      </c>
      <c r="AU27" s="414">
        <f t="shared" si="11"/>
        <v>44995.497479999998</v>
      </c>
      <c r="AV27" s="416">
        <f t="shared" si="30"/>
        <v>1012.3986933</v>
      </c>
      <c r="AW27" s="414">
        <f>H27-M27-AV27</f>
        <v>2710.6437730859998</v>
      </c>
      <c r="AX27" s="371"/>
    </row>
    <row r="28" spans="1:50" s="233" customFormat="1" ht="28.5" x14ac:dyDescent="0.45">
      <c r="A28" s="740" t="s">
        <v>171</v>
      </c>
      <c r="B28" s="740"/>
      <c r="C28" s="428">
        <v>50</v>
      </c>
      <c r="D28" s="419">
        <v>1665.34</v>
      </c>
      <c r="E28" s="419">
        <v>1665.34</v>
      </c>
      <c r="F28" s="419">
        <f>D28+E28</f>
        <v>3330.68</v>
      </c>
      <c r="G28" s="276">
        <v>278</v>
      </c>
      <c r="H28" s="412">
        <f t="shared" si="21"/>
        <v>2223.6737480000002</v>
      </c>
      <c r="I28" s="398">
        <v>0.54</v>
      </c>
      <c r="J28" s="397">
        <v>1795</v>
      </c>
      <c r="K28" s="361">
        <f t="shared" si="12"/>
        <v>1777.3453070865335</v>
      </c>
      <c r="L28" s="361">
        <f t="shared" si="0"/>
        <v>1911.1239861145521</v>
      </c>
      <c r="M28" s="413">
        <f t="shared" si="13"/>
        <v>16.511046736800001</v>
      </c>
      <c r="N28" s="414">
        <f t="shared" si="14"/>
        <v>2223.6737480000002</v>
      </c>
      <c r="O28" s="420">
        <f t="shared" si="32"/>
        <v>333.55106219999999</v>
      </c>
      <c r="P28" s="414">
        <f>H28-M28-O28</f>
        <v>1873.6116390632003</v>
      </c>
      <c r="Q28" s="414">
        <f t="shared" si="15"/>
        <v>4447.3474960000003</v>
      </c>
      <c r="R28" s="420">
        <f>H28*0.15</f>
        <v>333.55106219999999</v>
      </c>
      <c r="S28" s="414">
        <f>H28-M28-R28</f>
        <v>1873.6116390632003</v>
      </c>
      <c r="T28" s="414">
        <f t="shared" si="1"/>
        <v>6671.0212440000005</v>
      </c>
      <c r="U28" s="420">
        <f>H28*0.15</f>
        <v>333.55106219999999</v>
      </c>
      <c r="V28" s="414">
        <f>H28-M28-U28</f>
        <v>1873.6116390632003</v>
      </c>
      <c r="W28" s="414">
        <f t="shared" si="2"/>
        <v>8894.6949920000006</v>
      </c>
      <c r="X28" s="420">
        <f>H28*0.15</f>
        <v>333.55106219999999</v>
      </c>
      <c r="Y28" s="414">
        <f>H28-M28-X28</f>
        <v>1873.6116390632003</v>
      </c>
      <c r="Z28" s="414">
        <f t="shared" si="4"/>
        <v>11118.368740000002</v>
      </c>
      <c r="AA28" s="415">
        <f>(Z28-10000)*0.2+(10000-W28)*0.15</f>
        <v>389.46949920000026</v>
      </c>
      <c r="AB28" s="414">
        <f>H28-M28-AA28</f>
        <v>1817.6932020632</v>
      </c>
      <c r="AC28" s="414">
        <f t="shared" si="5"/>
        <v>13342.042488000001</v>
      </c>
      <c r="AD28" s="415">
        <f>H28*0.2</f>
        <v>444.73474960000004</v>
      </c>
      <c r="AE28" s="414">
        <f>H28-M28-AD28</f>
        <v>1762.4279516632002</v>
      </c>
      <c r="AF28" s="414">
        <f t="shared" si="6"/>
        <v>15565.716236</v>
      </c>
      <c r="AG28" s="415">
        <f>H28*0.2</f>
        <v>444.73474960000004</v>
      </c>
      <c r="AH28" s="414">
        <f>H28-M28-AG28</f>
        <v>1762.4279516632002</v>
      </c>
      <c r="AI28" s="414">
        <f t="shared" si="7"/>
        <v>17789.389984000001</v>
      </c>
      <c r="AJ28" s="415">
        <f>H28*0.2</f>
        <v>444.73474960000004</v>
      </c>
      <c r="AK28" s="414">
        <f>H28-M28-AJ28</f>
        <v>1762.4279516632002</v>
      </c>
      <c r="AL28" s="414">
        <f t="shared" si="8"/>
        <v>20013.063732000002</v>
      </c>
      <c r="AM28" s="415">
        <f>H28*0.2</f>
        <v>444.73474960000004</v>
      </c>
      <c r="AN28" s="414">
        <f>H28-M28-AM28</f>
        <v>1762.4279516632002</v>
      </c>
      <c r="AO28" s="414">
        <f t="shared" si="9"/>
        <v>22236.737480000003</v>
      </c>
      <c r="AP28" s="415">
        <f>H28*0.2</f>
        <v>444.73474960000004</v>
      </c>
      <c r="AQ28" s="414">
        <f>H28-M28-$AP$26</f>
        <v>839.32216506320037</v>
      </c>
      <c r="AR28" s="414">
        <f t="shared" si="10"/>
        <v>24460.411228000001</v>
      </c>
      <c r="AS28" s="415">
        <f>H28*0.2</f>
        <v>444.73474960000004</v>
      </c>
      <c r="AT28" s="414">
        <f>H28-M28-AS28</f>
        <v>1762.4279516632002</v>
      </c>
      <c r="AU28" s="414">
        <f t="shared" si="11"/>
        <v>26684.084976000002</v>
      </c>
      <c r="AV28" s="416">
        <f>(AU28-25000)*0.27+(25000-AR28)*0.2</f>
        <v>562.62069792000034</v>
      </c>
      <c r="AW28" s="414">
        <f>H28-M28-AV28</f>
        <v>1644.5420033431999</v>
      </c>
      <c r="AX28" s="371"/>
    </row>
    <row r="29" spans="1:50" s="345" customFormat="1" ht="28.5" x14ac:dyDescent="0.45">
      <c r="A29" s="429"/>
      <c r="B29" s="430"/>
      <c r="C29" s="431"/>
      <c r="D29" s="431"/>
      <c r="E29" s="431"/>
      <c r="F29" s="431"/>
      <c r="G29" s="276"/>
      <c r="H29" s="407">
        <v>0.94</v>
      </c>
      <c r="I29" s="396"/>
      <c r="J29" s="276"/>
      <c r="K29" s="361"/>
      <c r="L29" s="361"/>
      <c r="M29" s="413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4"/>
      <c r="AS29" s="414"/>
      <c r="AT29" s="414"/>
      <c r="AU29" s="414"/>
      <c r="AV29" s="414"/>
      <c r="AW29" s="414"/>
      <c r="AX29" s="375"/>
    </row>
    <row r="30" spans="1:50" ht="28.5" x14ac:dyDescent="0.45">
      <c r="A30" s="736" t="s">
        <v>28</v>
      </c>
      <c r="B30" s="409" t="s">
        <v>215</v>
      </c>
      <c r="C30" s="410">
        <v>600</v>
      </c>
      <c r="D30" s="411">
        <v>4996.0199999999995</v>
      </c>
      <c r="E30" s="411">
        <v>19984.079999999998</v>
      </c>
      <c r="F30" s="411">
        <f t="shared" ref="F30:F54" si="34">D30+E30</f>
        <v>24980.1</v>
      </c>
      <c r="G30" s="276">
        <v>359</v>
      </c>
      <c r="H30" s="412">
        <f>D30+E30*$H$29*$I30-G30</f>
        <v>16659.442528</v>
      </c>
      <c r="I30" s="396">
        <v>0.64</v>
      </c>
      <c r="J30" s="397">
        <v>11900</v>
      </c>
      <c r="K30" s="361">
        <f t="shared" si="12"/>
        <v>11922.396284898537</v>
      </c>
      <c r="L30" s="361">
        <f>K30/0.94</f>
        <v>12683.400303083552</v>
      </c>
      <c r="M30" s="413">
        <f t="shared" si="13"/>
        <v>112.3217206848</v>
      </c>
      <c r="N30" s="414">
        <f t="shared" si="14"/>
        <v>16659.442528</v>
      </c>
      <c r="O30" s="415">
        <f t="shared" ref="O30:O42" si="35">(N30-10000)*0.2+10000*0.15</f>
        <v>2831.8885055999999</v>
      </c>
      <c r="P30" s="414">
        <f t="shared" ref="P30:P54" si="36">H30-M30-O30</f>
        <v>13715.232301715201</v>
      </c>
      <c r="Q30" s="414">
        <f t="shared" si="15"/>
        <v>33318.885055999999</v>
      </c>
      <c r="R30" s="416">
        <f>(Q30-25000)*0.27+(25000-N30)*0.2</f>
        <v>3914.2104595199999</v>
      </c>
      <c r="S30" s="414">
        <f t="shared" ref="S30:S54" si="37">H30-M30-R30</f>
        <v>12632.910347795201</v>
      </c>
      <c r="T30" s="414">
        <f t="shared" ref="T30:T54" si="38">H30*3</f>
        <v>49978.327583999999</v>
      </c>
      <c r="U30" s="416">
        <f t="shared" ref="U30:U33" si="39">N30*0.27</f>
        <v>4498.0494825599999</v>
      </c>
      <c r="V30" s="414">
        <f t="shared" ref="V30:V54" si="40">H30-M30-U30</f>
        <v>12049.071324755201</v>
      </c>
      <c r="W30" s="414">
        <f t="shared" ref="W30:W54" si="41">H30*4</f>
        <v>66637.770111999998</v>
      </c>
      <c r="X30" s="416">
        <f t="shared" ref="X30:X37" si="42">H30*0.27</f>
        <v>4498.0494825599999</v>
      </c>
      <c r="Y30" s="414">
        <f t="shared" ref="Y30:Y54" si="43">H30-M30-X30</f>
        <v>12049.071324755201</v>
      </c>
      <c r="Z30" s="414">
        <f t="shared" ref="Z30:Z54" si="44">H30*5</f>
        <v>83297.212639999998</v>
      </c>
      <c r="AA30" s="416">
        <f t="shared" ref="AA30:AA50" si="45">H30*0.27</f>
        <v>4498.0494825599999</v>
      </c>
      <c r="AB30" s="414">
        <f t="shared" ref="AB30:AB54" si="46">H30-M30-AA30</f>
        <v>12049.071324755201</v>
      </c>
      <c r="AC30" s="414">
        <f t="shared" ref="AC30:AC54" si="47">H30*6</f>
        <v>99956.655167999998</v>
      </c>
      <c r="AD30" s="417">
        <f>(AC30-88000)*0.35+(88000-Z30)*0.27</f>
        <v>5454.5818959999997</v>
      </c>
      <c r="AE30" s="414">
        <f t="shared" ref="AE30:AE54" si="48">H30-M30-AD30</f>
        <v>11092.538911315201</v>
      </c>
      <c r="AF30" s="414">
        <f t="shared" ref="AF30:AF54" si="49">H30*7</f>
        <v>116616.097696</v>
      </c>
      <c r="AG30" s="417">
        <f>H30*0.35</f>
        <v>5830.8048847999999</v>
      </c>
      <c r="AH30" s="414">
        <f t="shared" ref="AH30:AH54" si="50">H30-M30-AG30</f>
        <v>10716.315922515201</v>
      </c>
      <c r="AI30" s="414">
        <f t="shared" ref="AI30:AI54" si="51">H30*8</f>
        <v>133275.540224</v>
      </c>
      <c r="AJ30" s="417">
        <f>H30*0.35</f>
        <v>5830.8048847999999</v>
      </c>
      <c r="AK30" s="414">
        <f t="shared" ref="AK30:AK54" si="52">H30-M30-AJ30</f>
        <v>10716.315922515201</v>
      </c>
      <c r="AL30" s="414">
        <f t="shared" ref="AL30:AL54" si="53">H30*9</f>
        <v>149934.98275199998</v>
      </c>
      <c r="AM30" s="417">
        <f>H30*0.35</f>
        <v>5830.8048847999999</v>
      </c>
      <c r="AN30" s="414">
        <f t="shared" ref="AN30:AN54" si="54">H30-M30-AM30</f>
        <v>10716.315922515201</v>
      </c>
      <c r="AO30" s="414">
        <f t="shared" ref="AO30:AO54" si="55">H30*10</f>
        <v>166594.42528</v>
      </c>
      <c r="AP30" s="417">
        <f>H30*0.35</f>
        <v>5830.8048847999999</v>
      </c>
      <c r="AQ30" s="414">
        <f t="shared" ref="AQ30:AQ35" si="56">H30-M30-$AP$26</f>
        <v>15179.280271115202</v>
      </c>
      <c r="AR30" s="414">
        <f t="shared" ref="AR30:AR54" si="57">H30*11</f>
        <v>183253.86780800001</v>
      </c>
      <c r="AS30" s="417">
        <f t="shared" ref="AS30:AS37" si="58">H30*0.35</f>
        <v>5830.8048847999999</v>
      </c>
      <c r="AT30" s="414">
        <f t="shared" ref="AT30:AT54" si="59">H30-M30-AS30</f>
        <v>10716.315922515201</v>
      </c>
      <c r="AU30" s="414">
        <f t="shared" ref="AU30:AU54" si="60">H30*12</f>
        <v>199913.310336</v>
      </c>
      <c r="AV30" s="417">
        <f t="shared" ref="AV30:AV37" si="61">H30*0.35</f>
        <v>5830.8048847999999</v>
      </c>
      <c r="AW30" s="414">
        <f t="shared" ref="AW30:AW54" si="62">H30-M30-AV30</f>
        <v>10716.315922515201</v>
      </c>
      <c r="AX30" s="292"/>
    </row>
    <row r="31" spans="1:50" ht="28.5" x14ac:dyDescent="0.45">
      <c r="A31" s="736"/>
      <c r="B31" s="409" t="s">
        <v>214</v>
      </c>
      <c r="C31" s="410">
        <v>600</v>
      </c>
      <c r="D31" s="411">
        <v>4996.0199999999995</v>
      </c>
      <c r="E31" s="411">
        <v>19984.079999999998</v>
      </c>
      <c r="F31" s="411">
        <f t="shared" si="34"/>
        <v>24980.1</v>
      </c>
      <c r="G31" s="276">
        <v>359</v>
      </c>
      <c r="H31" s="412">
        <f t="shared" ref="H31:H54" si="63">D31+E31*$H$29*$I31-G31</f>
        <v>10836.081615999999</v>
      </c>
      <c r="I31" s="396">
        <v>0.33</v>
      </c>
      <c r="J31" s="397">
        <v>8000</v>
      </c>
      <c r="K31" s="361">
        <f t="shared" si="12"/>
        <v>8005.7978475177342</v>
      </c>
      <c r="L31" s="361">
        <f t="shared" ref="L31:L54" si="64">K31/0.94</f>
        <v>8516.8062207635467</v>
      </c>
      <c r="M31" s="413">
        <f t="shared" si="13"/>
        <v>73.88753866559999</v>
      </c>
      <c r="N31" s="414">
        <f t="shared" si="14"/>
        <v>10836.081615999999</v>
      </c>
      <c r="O31" s="415">
        <f t="shared" si="35"/>
        <v>1667.2163231999998</v>
      </c>
      <c r="P31" s="414">
        <f t="shared" si="36"/>
        <v>9094.9777541343992</v>
      </c>
      <c r="Q31" s="414">
        <f t="shared" si="15"/>
        <v>21672.163231999999</v>
      </c>
      <c r="R31" s="415">
        <f>H31*0.2</f>
        <v>2167.2163231999998</v>
      </c>
      <c r="S31" s="414">
        <f t="shared" si="37"/>
        <v>8594.9777541343992</v>
      </c>
      <c r="T31" s="414">
        <f t="shared" si="38"/>
        <v>32508.244847999998</v>
      </c>
      <c r="U31" s="416">
        <f>(T31-25000)*0.27+(25000-Q31)*0.2</f>
        <v>2692.7934625600001</v>
      </c>
      <c r="V31" s="414">
        <f t="shared" si="40"/>
        <v>8069.4006147743994</v>
      </c>
      <c r="W31" s="414">
        <f t="shared" si="41"/>
        <v>43344.326463999998</v>
      </c>
      <c r="X31" s="416">
        <f t="shared" si="42"/>
        <v>2925.7420363199999</v>
      </c>
      <c r="Y31" s="414">
        <f t="shared" si="43"/>
        <v>7836.4520410143996</v>
      </c>
      <c r="Z31" s="414">
        <f t="shared" si="44"/>
        <v>54180.408079999994</v>
      </c>
      <c r="AA31" s="416">
        <f t="shared" si="45"/>
        <v>2925.7420363199999</v>
      </c>
      <c r="AB31" s="414">
        <f t="shared" si="46"/>
        <v>7836.4520410143996</v>
      </c>
      <c r="AC31" s="414">
        <f t="shared" si="47"/>
        <v>65016.489695999997</v>
      </c>
      <c r="AD31" s="416">
        <f t="shared" ref="AD31:AD38" si="65">H31*0.27</f>
        <v>2925.7420363199999</v>
      </c>
      <c r="AE31" s="414">
        <f t="shared" si="48"/>
        <v>7836.4520410143996</v>
      </c>
      <c r="AF31" s="414">
        <f t="shared" si="49"/>
        <v>75852.571312</v>
      </c>
      <c r="AG31" s="416">
        <f>H31*0.27</f>
        <v>2925.7420363199999</v>
      </c>
      <c r="AH31" s="414">
        <f t="shared" si="50"/>
        <v>7836.4520410143996</v>
      </c>
      <c r="AI31" s="414">
        <f t="shared" si="51"/>
        <v>86688.652927999996</v>
      </c>
      <c r="AJ31" s="416">
        <f>H31*0.27</f>
        <v>2925.7420363199999</v>
      </c>
      <c r="AK31" s="414">
        <f t="shared" si="52"/>
        <v>7836.4520410143996</v>
      </c>
      <c r="AL31" s="414">
        <f t="shared" si="53"/>
        <v>97524.734543999992</v>
      </c>
      <c r="AM31" s="417">
        <f>(AL31-88000)*0.35+(88000-AI31)*0.27</f>
        <v>3687.7207998399981</v>
      </c>
      <c r="AN31" s="414">
        <f t="shared" si="54"/>
        <v>7074.4732774944014</v>
      </c>
      <c r="AO31" s="414">
        <f t="shared" si="55"/>
        <v>108360.81615999999</v>
      </c>
      <c r="AP31" s="417">
        <f>H31*0.35</f>
        <v>3792.6285655999995</v>
      </c>
      <c r="AQ31" s="414">
        <f t="shared" si="56"/>
        <v>9394.3535411344001</v>
      </c>
      <c r="AR31" s="414">
        <f t="shared" si="57"/>
        <v>119196.897776</v>
      </c>
      <c r="AS31" s="417">
        <f t="shared" si="58"/>
        <v>3792.6285655999995</v>
      </c>
      <c r="AT31" s="414">
        <f t="shared" si="59"/>
        <v>6969.5655117343995</v>
      </c>
      <c r="AU31" s="414">
        <f t="shared" si="60"/>
        <v>130032.97939199999</v>
      </c>
      <c r="AV31" s="417">
        <f t="shared" si="61"/>
        <v>3792.6285655999995</v>
      </c>
      <c r="AW31" s="414">
        <f t="shared" si="62"/>
        <v>6969.5655117343995</v>
      </c>
      <c r="AX31" s="292"/>
    </row>
    <row r="32" spans="1:50" ht="28.5" x14ac:dyDescent="0.45">
      <c r="A32" s="736"/>
      <c r="B32" s="418" t="s">
        <v>220</v>
      </c>
      <c r="C32" s="406">
        <v>600</v>
      </c>
      <c r="D32" s="419">
        <v>4996.0199999999995</v>
      </c>
      <c r="E32" s="419">
        <v>19984.079999999998</v>
      </c>
      <c r="F32" s="419">
        <v>16231.55401011872</v>
      </c>
      <c r="G32" s="276">
        <v>359</v>
      </c>
      <c r="H32" s="412">
        <f t="shared" si="63"/>
        <v>9333.2788</v>
      </c>
      <c r="I32" s="396">
        <v>0.25</v>
      </c>
      <c r="J32" s="397">
        <v>6844</v>
      </c>
      <c r="K32" s="361">
        <f t="shared" si="12"/>
        <v>6968.3928282366678</v>
      </c>
      <c r="L32" s="361">
        <f t="shared" si="64"/>
        <v>7413.183859826243</v>
      </c>
      <c r="M32" s="413">
        <f t="shared" si="13"/>
        <v>63.969040079999999</v>
      </c>
      <c r="N32" s="414">
        <f t="shared" si="14"/>
        <v>9333.2788</v>
      </c>
      <c r="O32" s="420">
        <f t="shared" ref="O32" si="66">N32*0.15</f>
        <v>1399.99182</v>
      </c>
      <c r="P32" s="414">
        <f t="shared" si="36"/>
        <v>7869.3179399200008</v>
      </c>
      <c r="Q32" s="414">
        <f t="shared" si="15"/>
        <v>18666.5576</v>
      </c>
      <c r="R32" s="415">
        <f t="shared" ref="R32" si="67">(Q32-10000)*0.2+(10000-N32)*0.15</f>
        <v>1833.3197000000002</v>
      </c>
      <c r="S32" s="414">
        <f t="shared" si="37"/>
        <v>7435.9900599200009</v>
      </c>
      <c r="T32" s="414">
        <f t="shared" si="38"/>
        <v>27999.8364</v>
      </c>
      <c r="U32" s="416">
        <f>(T32-25000)*0.27+(25000-Q32)*0.2</f>
        <v>2076.6443079999999</v>
      </c>
      <c r="V32" s="414">
        <f t="shared" si="40"/>
        <v>7192.665451920001</v>
      </c>
      <c r="W32" s="414">
        <f t="shared" si="41"/>
        <v>37333.1152</v>
      </c>
      <c r="X32" s="416">
        <f t="shared" si="42"/>
        <v>2519.9852760000003</v>
      </c>
      <c r="Y32" s="414">
        <f t="shared" si="43"/>
        <v>6749.3244839200006</v>
      </c>
      <c r="Z32" s="414">
        <f t="shared" si="44"/>
        <v>46666.394</v>
      </c>
      <c r="AA32" s="416">
        <f t="shared" si="45"/>
        <v>2519.9852760000003</v>
      </c>
      <c r="AB32" s="414">
        <f t="shared" si="46"/>
        <v>6749.3244839200006</v>
      </c>
      <c r="AC32" s="414">
        <f t="shared" si="47"/>
        <v>55999.6728</v>
      </c>
      <c r="AD32" s="416">
        <f t="shared" si="65"/>
        <v>2519.9852760000003</v>
      </c>
      <c r="AE32" s="414">
        <f t="shared" si="48"/>
        <v>6749.3244839200006</v>
      </c>
      <c r="AF32" s="414">
        <f t="shared" si="49"/>
        <v>65332.9516</v>
      </c>
      <c r="AG32" s="416">
        <f>H32*0.27</f>
        <v>2519.9852760000003</v>
      </c>
      <c r="AH32" s="414">
        <f t="shared" si="50"/>
        <v>6749.3244839200006</v>
      </c>
      <c r="AI32" s="414">
        <f t="shared" si="51"/>
        <v>74666.2304</v>
      </c>
      <c r="AJ32" s="416">
        <f>H32*0.27</f>
        <v>2519.9852760000003</v>
      </c>
      <c r="AK32" s="414">
        <f t="shared" si="52"/>
        <v>6749.3244839200006</v>
      </c>
      <c r="AL32" s="414">
        <f t="shared" si="53"/>
        <v>83999.5092</v>
      </c>
      <c r="AM32" s="416">
        <f>H32*0.27</f>
        <v>2519.9852760000003</v>
      </c>
      <c r="AN32" s="414">
        <f t="shared" si="54"/>
        <v>6749.3244839200006</v>
      </c>
      <c r="AO32" s="414">
        <f t="shared" si="55"/>
        <v>93332.788</v>
      </c>
      <c r="AP32" s="417">
        <f>(AO32-88000)*0.35+(88000-AL32)*0.27</f>
        <v>2946.6083159999998</v>
      </c>
      <c r="AQ32" s="414">
        <f t="shared" si="56"/>
        <v>7901.4692237200015</v>
      </c>
      <c r="AR32" s="414">
        <f t="shared" si="57"/>
        <v>102666.0668</v>
      </c>
      <c r="AS32" s="417">
        <f t="shared" si="58"/>
        <v>3266.6475799999998</v>
      </c>
      <c r="AT32" s="414">
        <f t="shared" si="59"/>
        <v>6002.6621799200011</v>
      </c>
      <c r="AU32" s="414">
        <f t="shared" si="60"/>
        <v>111999.3456</v>
      </c>
      <c r="AV32" s="417">
        <f t="shared" si="61"/>
        <v>3266.6475799999998</v>
      </c>
      <c r="AW32" s="414">
        <f t="shared" si="62"/>
        <v>6002.6621799200011</v>
      </c>
      <c r="AX32" s="292"/>
    </row>
    <row r="33" spans="1:50" ht="28.5" x14ac:dyDescent="0.45">
      <c r="A33" s="736"/>
      <c r="B33" s="409" t="s">
        <v>32</v>
      </c>
      <c r="C33" s="410">
        <v>450</v>
      </c>
      <c r="D33" s="411">
        <v>4996.0199999999995</v>
      </c>
      <c r="E33" s="411">
        <v>14988.06</v>
      </c>
      <c r="F33" s="411">
        <f t="shared" si="34"/>
        <v>19984.079999999998</v>
      </c>
      <c r="G33" s="276">
        <v>359</v>
      </c>
      <c r="H33" s="412">
        <f t="shared" si="63"/>
        <v>13090.285839999997</v>
      </c>
      <c r="I33" s="396">
        <v>0.6</v>
      </c>
      <c r="J33" s="397">
        <v>9500</v>
      </c>
      <c r="K33" s="361">
        <f t="shared" si="12"/>
        <v>9521.9004684393349</v>
      </c>
      <c r="L33" s="361">
        <f t="shared" si="64"/>
        <v>10129.681349403549</v>
      </c>
      <c r="M33" s="413">
        <f t="shared" si="13"/>
        <v>88.765286543999977</v>
      </c>
      <c r="N33" s="414">
        <f t="shared" si="14"/>
        <v>13090.285839999997</v>
      </c>
      <c r="O33" s="415">
        <f t="shared" si="35"/>
        <v>2118.0571679999994</v>
      </c>
      <c r="P33" s="414">
        <f t="shared" si="36"/>
        <v>10883.463385455998</v>
      </c>
      <c r="Q33" s="414">
        <f t="shared" si="15"/>
        <v>26180.571679999994</v>
      </c>
      <c r="R33" s="416">
        <f>(Q33-25000)*0.27+(25000-N33)*0.2</f>
        <v>2700.6971855999991</v>
      </c>
      <c r="S33" s="414">
        <f t="shared" si="37"/>
        <v>10300.823367855999</v>
      </c>
      <c r="T33" s="414">
        <f t="shared" si="38"/>
        <v>39270.85751999999</v>
      </c>
      <c r="U33" s="416">
        <f t="shared" si="39"/>
        <v>3534.3771767999992</v>
      </c>
      <c r="V33" s="414">
        <f t="shared" si="40"/>
        <v>9467.1433766559985</v>
      </c>
      <c r="W33" s="414">
        <f t="shared" si="41"/>
        <v>52361.143359999987</v>
      </c>
      <c r="X33" s="416">
        <f t="shared" si="42"/>
        <v>3534.3771767999992</v>
      </c>
      <c r="Y33" s="414">
        <f t="shared" si="43"/>
        <v>9467.1433766559985</v>
      </c>
      <c r="Z33" s="414">
        <f t="shared" si="44"/>
        <v>65451.429199999984</v>
      </c>
      <c r="AA33" s="416">
        <f t="shared" si="45"/>
        <v>3534.3771767999992</v>
      </c>
      <c r="AB33" s="414">
        <f t="shared" si="46"/>
        <v>9467.1433766559985</v>
      </c>
      <c r="AC33" s="414">
        <f t="shared" si="47"/>
        <v>78541.715039999981</v>
      </c>
      <c r="AD33" s="416">
        <f t="shared" si="65"/>
        <v>3534.3771767999992</v>
      </c>
      <c r="AE33" s="414">
        <f t="shared" si="48"/>
        <v>9467.1433766559985</v>
      </c>
      <c r="AF33" s="414">
        <f t="shared" si="49"/>
        <v>91632.000879999978</v>
      </c>
      <c r="AG33" s="417">
        <f>(AF33-88000)*0.35+(88000-AC33)*0.27</f>
        <v>3824.9372471999977</v>
      </c>
      <c r="AH33" s="414">
        <f t="shared" si="50"/>
        <v>9176.5833062559996</v>
      </c>
      <c r="AI33" s="414">
        <f t="shared" si="51"/>
        <v>104722.28671999997</v>
      </c>
      <c r="AJ33" s="417">
        <f>H33*0.35</f>
        <v>4581.6000439999989</v>
      </c>
      <c r="AK33" s="414">
        <f t="shared" si="52"/>
        <v>8419.9205094559984</v>
      </c>
      <c r="AL33" s="414">
        <f t="shared" si="53"/>
        <v>117812.57255999997</v>
      </c>
      <c r="AM33" s="417">
        <f>H33*0.35</f>
        <v>4581.6000439999989</v>
      </c>
      <c r="AN33" s="414">
        <f t="shared" si="54"/>
        <v>8419.9205094559984</v>
      </c>
      <c r="AO33" s="414">
        <f t="shared" si="55"/>
        <v>130902.85839999997</v>
      </c>
      <c r="AP33" s="417">
        <f>H33*0.35</f>
        <v>4581.6000439999989</v>
      </c>
      <c r="AQ33" s="414">
        <f t="shared" si="56"/>
        <v>11633.680017255998</v>
      </c>
      <c r="AR33" s="414">
        <f t="shared" si="57"/>
        <v>143993.14423999997</v>
      </c>
      <c r="AS33" s="417">
        <f t="shared" si="58"/>
        <v>4581.6000439999989</v>
      </c>
      <c r="AT33" s="414">
        <f t="shared" si="59"/>
        <v>8419.9205094559984</v>
      </c>
      <c r="AU33" s="414">
        <f t="shared" si="60"/>
        <v>157083.43007999996</v>
      </c>
      <c r="AV33" s="417">
        <f t="shared" si="61"/>
        <v>4581.6000439999989</v>
      </c>
      <c r="AW33" s="414">
        <f t="shared" si="62"/>
        <v>8419.9205094559984</v>
      </c>
      <c r="AX33" s="292"/>
    </row>
    <row r="34" spans="1:50" ht="28.5" x14ac:dyDescent="0.45">
      <c r="A34" s="736"/>
      <c r="B34" s="409" t="s">
        <v>237</v>
      </c>
      <c r="C34" s="410">
        <v>450</v>
      </c>
      <c r="D34" s="411">
        <v>4996.0199999999995</v>
      </c>
      <c r="E34" s="411">
        <v>14988.06</v>
      </c>
      <c r="F34" s="411">
        <f t="shared" si="34"/>
        <v>19984.079999999998</v>
      </c>
      <c r="G34" s="276">
        <v>359</v>
      </c>
      <c r="H34" s="412">
        <f t="shared" si="63"/>
        <v>11399.632672</v>
      </c>
      <c r="I34" s="396">
        <v>0.48</v>
      </c>
      <c r="J34" s="397">
        <v>8300</v>
      </c>
      <c r="K34" s="361">
        <f t="shared" si="12"/>
        <v>8384.8235027481333</v>
      </c>
      <c r="L34" s="361">
        <f t="shared" si="64"/>
        <v>8920.0250029235467</v>
      </c>
      <c r="M34" s="413">
        <f t="shared" si="13"/>
        <v>77.606975635200001</v>
      </c>
      <c r="N34" s="414">
        <f t="shared" si="14"/>
        <v>11399.632672</v>
      </c>
      <c r="O34" s="415">
        <f t="shared" si="35"/>
        <v>1779.9265344</v>
      </c>
      <c r="P34" s="414">
        <f t="shared" si="36"/>
        <v>9542.0991619647994</v>
      </c>
      <c r="Q34" s="414">
        <f t="shared" si="15"/>
        <v>22799.265343999999</v>
      </c>
      <c r="R34" s="416">
        <f>N34*0.2</f>
        <v>2279.9265344</v>
      </c>
      <c r="S34" s="414">
        <f t="shared" si="37"/>
        <v>9042.0991619647994</v>
      </c>
      <c r="T34" s="414">
        <f t="shared" si="38"/>
        <v>34198.898015999999</v>
      </c>
      <c r="U34" s="416">
        <f>(T34-25000)*0.27+(25000-Q34)*0.2</f>
        <v>2923.8493955200001</v>
      </c>
      <c r="V34" s="414">
        <f t="shared" si="40"/>
        <v>8398.1763008447997</v>
      </c>
      <c r="W34" s="414">
        <f t="shared" si="41"/>
        <v>45598.530687999999</v>
      </c>
      <c r="X34" s="416">
        <f t="shared" si="42"/>
        <v>3077.9008214400001</v>
      </c>
      <c r="Y34" s="414">
        <f t="shared" si="43"/>
        <v>8244.1248749247989</v>
      </c>
      <c r="Z34" s="414">
        <f t="shared" si="44"/>
        <v>56998.163359999999</v>
      </c>
      <c r="AA34" s="416">
        <f t="shared" si="45"/>
        <v>3077.9008214400001</v>
      </c>
      <c r="AB34" s="414">
        <f t="shared" si="46"/>
        <v>8244.1248749247989</v>
      </c>
      <c r="AC34" s="414">
        <f t="shared" si="47"/>
        <v>68397.796031999998</v>
      </c>
      <c r="AD34" s="416">
        <f t="shared" si="65"/>
        <v>3077.9008214400001</v>
      </c>
      <c r="AE34" s="414">
        <f t="shared" si="48"/>
        <v>8244.1248749247989</v>
      </c>
      <c r="AF34" s="414">
        <f t="shared" si="49"/>
        <v>79797.428703999991</v>
      </c>
      <c r="AG34" s="416">
        <f>H34*0.27</f>
        <v>3077.9008214400001</v>
      </c>
      <c r="AH34" s="414">
        <f t="shared" si="50"/>
        <v>8244.1248749247989</v>
      </c>
      <c r="AI34" s="414">
        <f t="shared" si="51"/>
        <v>91197.061375999998</v>
      </c>
      <c r="AJ34" s="417">
        <f>(AI34-88000)*0.35+(88000-AF34)*0.27</f>
        <v>3333.6657315200018</v>
      </c>
      <c r="AK34" s="414">
        <f t="shared" si="52"/>
        <v>7988.3599648447971</v>
      </c>
      <c r="AL34" s="414">
        <f t="shared" si="53"/>
        <v>102596.694048</v>
      </c>
      <c r="AM34" s="417">
        <f>H34*0.35</f>
        <v>3989.8714351999997</v>
      </c>
      <c r="AN34" s="414">
        <f t="shared" si="54"/>
        <v>7332.1542611647992</v>
      </c>
      <c r="AO34" s="414">
        <f t="shared" si="55"/>
        <v>113996.32672</v>
      </c>
      <c r="AP34" s="417">
        <f>H34*0.35</f>
        <v>3989.8714351999997</v>
      </c>
      <c r="AQ34" s="414">
        <f t="shared" si="56"/>
        <v>9954.1851601647995</v>
      </c>
      <c r="AR34" s="414">
        <f t="shared" si="57"/>
        <v>125395.95939199999</v>
      </c>
      <c r="AS34" s="417">
        <f t="shared" si="58"/>
        <v>3989.8714351999997</v>
      </c>
      <c r="AT34" s="414">
        <f t="shared" si="59"/>
        <v>7332.1542611647992</v>
      </c>
      <c r="AU34" s="414">
        <f t="shared" si="60"/>
        <v>136795.592064</v>
      </c>
      <c r="AV34" s="417">
        <f t="shared" si="61"/>
        <v>3989.8714351999997</v>
      </c>
      <c r="AW34" s="414">
        <f t="shared" si="62"/>
        <v>7332.1542611647992</v>
      </c>
      <c r="AX34" s="292"/>
    </row>
    <row r="35" spans="1:50" ht="28.5" x14ac:dyDescent="0.45">
      <c r="A35" s="736"/>
      <c r="B35" s="418" t="s">
        <v>234</v>
      </c>
      <c r="C35" s="406">
        <v>300</v>
      </c>
      <c r="D35" s="419">
        <v>4996.0199999999995</v>
      </c>
      <c r="E35" s="419">
        <v>9992.0399999999991</v>
      </c>
      <c r="F35" s="419">
        <f t="shared" si="34"/>
        <v>14988.059999999998</v>
      </c>
      <c r="G35" s="276">
        <v>359</v>
      </c>
      <c r="H35" s="412">
        <f t="shared" si="63"/>
        <v>9802.9046799999996</v>
      </c>
      <c r="I35" s="396">
        <v>0.55000000000000004</v>
      </c>
      <c r="J35" s="397">
        <v>7300</v>
      </c>
      <c r="K35" s="361">
        <f t="shared" si="12"/>
        <v>7310.917479595334</v>
      </c>
      <c r="L35" s="361">
        <f t="shared" si="64"/>
        <v>7777.5717868035472</v>
      </c>
      <c r="M35" s="413">
        <f t="shared" si="13"/>
        <v>67.068570887999996</v>
      </c>
      <c r="N35" s="414">
        <f t="shared" si="14"/>
        <v>9802.9046799999996</v>
      </c>
      <c r="O35" s="420">
        <f t="shared" ref="O35:O38" si="68">N35*0.15</f>
        <v>1470.435702</v>
      </c>
      <c r="P35" s="414">
        <f t="shared" si="36"/>
        <v>8265.4004071119998</v>
      </c>
      <c r="Q35" s="414">
        <f t="shared" si="15"/>
        <v>19605.809359999999</v>
      </c>
      <c r="R35" s="415">
        <f t="shared" ref="R35:R38" si="69">(Q35-10000)*0.2+(10000-N35)*0.15</f>
        <v>1950.7261699999999</v>
      </c>
      <c r="S35" s="414">
        <f t="shared" si="37"/>
        <v>7785.1099391120006</v>
      </c>
      <c r="T35" s="414">
        <f t="shared" si="38"/>
        <v>29408.714039999999</v>
      </c>
      <c r="U35" s="416">
        <f>(T35-25000)*0.27+(25000-Q35)*0.2</f>
        <v>2269.1909188</v>
      </c>
      <c r="V35" s="414">
        <f t="shared" si="40"/>
        <v>7466.6451903120005</v>
      </c>
      <c r="W35" s="414">
        <f t="shared" si="41"/>
        <v>39211.618719999999</v>
      </c>
      <c r="X35" s="416">
        <f t="shared" si="42"/>
        <v>2646.7842636</v>
      </c>
      <c r="Y35" s="414">
        <f t="shared" si="43"/>
        <v>7089.051845512</v>
      </c>
      <c r="Z35" s="414">
        <f t="shared" si="44"/>
        <v>49014.523399999998</v>
      </c>
      <c r="AA35" s="416">
        <f t="shared" si="45"/>
        <v>2646.7842636</v>
      </c>
      <c r="AB35" s="414">
        <f t="shared" si="46"/>
        <v>7089.051845512</v>
      </c>
      <c r="AC35" s="414">
        <f t="shared" si="47"/>
        <v>58817.428079999998</v>
      </c>
      <c r="AD35" s="416">
        <f t="shared" si="65"/>
        <v>2646.7842636</v>
      </c>
      <c r="AE35" s="414">
        <f t="shared" si="48"/>
        <v>7089.051845512</v>
      </c>
      <c r="AF35" s="414">
        <f t="shared" si="49"/>
        <v>68620.33275999999</v>
      </c>
      <c r="AG35" s="416">
        <f>H35*0.27</f>
        <v>2646.7842636</v>
      </c>
      <c r="AH35" s="414">
        <f t="shared" si="50"/>
        <v>7089.051845512</v>
      </c>
      <c r="AI35" s="414">
        <f t="shared" si="51"/>
        <v>78423.237439999997</v>
      </c>
      <c r="AJ35" s="416">
        <f>H35*0.27</f>
        <v>2646.7842636</v>
      </c>
      <c r="AK35" s="414">
        <f t="shared" si="52"/>
        <v>7089.051845512</v>
      </c>
      <c r="AL35" s="414">
        <f t="shared" si="53"/>
        <v>88226.142120000004</v>
      </c>
      <c r="AM35" s="417">
        <f>(AL35-88000)*0.35+(88000-AI35)*0.27</f>
        <v>2664.8756332000025</v>
      </c>
      <c r="AN35" s="414">
        <f t="shared" si="54"/>
        <v>7070.9604759119975</v>
      </c>
      <c r="AO35" s="414">
        <f t="shared" si="55"/>
        <v>98029.046799999996</v>
      </c>
      <c r="AP35" s="417">
        <f>H35*0.35</f>
        <v>3431.0166379999996</v>
      </c>
      <c r="AQ35" s="414">
        <f t="shared" si="56"/>
        <v>8367.9955729120011</v>
      </c>
      <c r="AR35" s="414">
        <f t="shared" si="57"/>
        <v>107831.95147999999</v>
      </c>
      <c r="AS35" s="417">
        <f t="shared" si="58"/>
        <v>3431.0166379999996</v>
      </c>
      <c r="AT35" s="414">
        <f t="shared" si="59"/>
        <v>6304.8194711120013</v>
      </c>
      <c r="AU35" s="414">
        <f t="shared" si="60"/>
        <v>117634.85616</v>
      </c>
      <c r="AV35" s="417">
        <f t="shared" si="61"/>
        <v>3431.0166379999996</v>
      </c>
      <c r="AW35" s="414">
        <f t="shared" si="62"/>
        <v>6304.8194711120013</v>
      </c>
      <c r="AX35" s="292"/>
    </row>
    <row r="36" spans="1:50" ht="28.5" x14ac:dyDescent="0.45">
      <c r="A36" s="736"/>
      <c r="B36" s="418" t="s">
        <v>242</v>
      </c>
      <c r="C36" s="406">
        <v>300</v>
      </c>
      <c r="D36" s="419">
        <v>4996.0199999999995</v>
      </c>
      <c r="E36" s="419">
        <v>9992.0399999999991</v>
      </c>
      <c r="F36" s="419">
        <f t="shared" si="34"/>
        <v>14988.059999999998</v>
      </c>
      <c r="G36" s="276">
        <v>359</v>
      </c>
      <c r="H36" s="412">
        <f t="shared" si="63"/>
        <v>9802.9046799999996</v>
      </c>
      <c r="I36" s="396">
        <v>0.55000000000000004</v>
      </c>
      <c r="J36" s="397">
        <v>7100</v>
      </c>
      <c r="K36" s="361">
        <f t="shared" si="12"/>
        <v>7138.9861377786683</v>
      </c>
      <c r="L36" s="361">
        <f t="shared" si="64"/>
        <v>7594.6661040198605</v>
      </c>
      <c r="M36" s="413">
        <f t="shared" si="13"/>
        <v>67.068570887999996</v>
      </c>
      <c r="N36" s="414">
        <f t="shared" si="14"/>
        <v>9802.9046799999996</v>
      </c>
      <c r="O36" s="420">
        <f t="shared" si="68"/>
        <v>1470.435702</v>
      </c>
      <c r="P36" s="414">
        <f t="shared" si="36"/>
        <v>8265.4004071119998</v>
      </c>
      <c r="Q36" s="414">
        <f t="shared" si="15"/>
        <v>19605.809359999999</v>
      </c>
      <c r="R36" s="415">
        <f t="shared" si="69"/>
        <v>1950.7261699999999</v>
      </c>
      <c r="S36" s="414">
        <f t="shared" si="37"/>
        <v>7785.1099391120006</v>
      </c>
      <c r="T36" s="414">
        <f t="shared" si="38"/>
        <v>29408.714039999999</v>
      </c>
      <c r="U36" s="416">
        <f>(T36-25000)*0.27+(25000-Q36)*0.2</f>
        <v>2269.1909188</v>
      </c>
      <c r="V36" s="414">
        <f t="shared" si="40"/>
        <v>7466.6451903120005</v>
      </c>
      <c r="W36" s="414">
        <f t="shared" si="41"/>
        <v>39211.618719999999</v>
      </c>
      <c r="X36" s="416">
        <f t="shared" si="42"/>
        <v>2646.7842636</v>
      </c>
      <c r="Y36" s="414">
        <f t="shared" si="43"/>
        <v>7089.051845512</v>
      </c>
      <c r="Z36" s="414">
        <f t="shared" si="44"/>
        <v>49014.523399999998</v>
      </c>
      <c r="AA36" s="416">
        <f t="shared" si="45"/>
        <v>2646.7842636</v>
      </c>
      <c r="AB36" s="414">
        <f t="shared" si="46"/>
        <v>7089.051845512</v>
      </c>
      <c r="AC36" s="414">
        <f t="shared" si="47"/>
        <v>58817.428079999998</v>
      </c>
      <c r="AD36" s="416">
        <f t="shared" si="65"/>
        <v>2646.7842636</v>
      </c>
      <c r="AE36" s="414">
        <f t="shared" si="48"/>
        <v>7089.051845512</v>
      </c>
      <c r="AF36" s="414">
        <f t="shared" si="49"/>
        <v>68620.33275999999</v>
      </c>
      <c r="AG36" s="416">
        <f>H36*0.27</f>
        <v>2646.7842636</v>
      </c>
      <c r="AH36" s="414">
        <f t="shared" si="50"/>
        <v>7089.051845512</v>
      </c>
      <c r="AI36" s="414">
        <f t="shared" si="51"/>
        <v>78423.237439999997</v>
      </c>
      <c r="AJ36" s="416">
        <f>H36*0.27</f>
        <v>2646.7842636</v>
      </c>
      <c r="AK36" s="414">
        <f t="shared" si="52"/>
        <v>7089.051845512</v>
      </c>
      <c r="AL36" s="414">
        <f t="shared" si="53"/>
        <v>88226.142120000004</v>
      </c>
      <c r="AM36" s="417">
        <f>(AL36-88000)*0.35+(88000-AI36)*0.27</f>
        <v>2664.8756332000025</v>
      </c>
      <c r="AN36" s="414">
        <f t="shared" si="54"/>
        <v>7070.9604759119975</v>
      </c>
      <c r="AO36" s="414">
        <f t="shared" si="55"/>
        <v>98029.046799999996</v>
      </c>
      <c r="AP36" s="417">
        <f>H36*0.35</f>
        <v>3431.0166379999996</v>
      </c>
      <c r="AQ36" s="414">
        <f>H36-M36-AP36</f>
        <v>6304.8194711120013</v>
      </c>
      <c r="AR36" s="414">
        <f t="shared" si="57"/>
        <v>107831.95147999999</v>
      </c>
      <c r="AS36" s="417">
        <f t="shared" si="58"/>
        <v>3431.0166379999996</v>
      </c>
      <c r="AT36" s="414">
        <f t="shared" si="59"/>
        <v>6304.8194711120013</v>
      </c>
      <c r="AU36" s="414">
        <f t="shared" si="60"/>
        <v>117634.85616</v>
      </c>
      <c r="AV36" s="417">
        <f t="shared" si="61"/>
        <v>3431.0166379999996</v>
      </c>
      <c r="AW36" s="414">
        <f t="shared" si="62"/>
        <v>6304.8194711120013</v>
      </c>
      <c r="AX36" s="292"/>
    </row>
    <row r="37" spans="1:50" ht="28.5" x14ac:dyDescent="0.45">
      <c r="A37" s="736"/>
      <c r="B37" s="418" t="s">
        <v>235</v>
      </c>
      <c r="C37" s="406">
        <v>300</v>
      </c>
      <c r="D37" s="419">
        <v>4996.0199999999995</v>
      </c>
      <c r="E37" s="419">
        <v>9992.0399999999991</v>
      </c>
      <c r="F37" s="419">
        <f t="shared" si="34"/>
        <v>14988.059999999998</v>
      </c>
      <c r="G37" s="276">
        <v>359</v>
      </c>
      <c r="H37" s="412">
        <f t="shared" si="63"/>
        <v>9333.2788</v>
      </c>
      <c r="I37" s="396">
        <v>0.5</v>
      </c>
      <c r="J37" s="397">
        <v>6900</v>
      </c>
      <c r="K37" s="361">
        <f t="shared" si="12"/>
        <v>6968.3928282366678</v>
      </c>
      <c r="L37" s="361">
        <f t="shared" si="64"/>
        <v>7413.183859826243</v>
      </c>
      <c r="M37" s="413">
        <f t="shared" si="13"/>
        <v>63.969040079999999</v>
      </c>
      <c r="N37" s="414">
        <f t="shared" si="14"/>
        <v>9333.2788</v>
      </c>
      <c r="O37" s="420">
        <f t="shared" si="68"/>
        <v>1399.99182</v>
      </c>
      <c r="P37" s="414">
        <f t="shared" si="36"/>
        <v>7869.3179399200008</v>
      </c>
      <c r="Q37" s="414">
        <f t="shared" si="15"/>
        <v>18666.5576</v>
      </c>
      <c r="R37" s="415">
        <f t="shared" si="69"/>
        <v>1833.3197000000002</v>
      </c>
      <c r="S37" s="414">
        <f t="shared" si="37"/>
        <v>7435.9900599200009</v>
      </c>
      <c r="T37" s="414">
        <f t="shared" si="38"/>
        <v>27999.8364</v>
      </c>
      <c r="U37" s="416">
        <f>(T37-25000)*0.27+(25000-Q37)*0.2</f>
        <v>2076.6443079999999</v>
      </c>
      <c r="V37" s="414">
        <f t="shared" si="40"/>
        <v>7192.665451920001</v>
      </c>
      <c r="W37" s="414">
        <f t="shared" si="41"/>
        <v>37333.1152</v>
      </c>
      <c r="X37" s="416">
        <f t="shared" si="42"/>
        <v>2519.9852760000003</v>
      </c>
      <c r="Y37" s="414">
        <f t="shared" si="43"/>
        <v>6749.3244839200006</v>
      </c>
      <c r="Z37" s="414">
        <f t="shared" si="44"/>
        <v>46666.394</v>
      </c>
      <c r="AA37" s="416">
        <f t="shared" si="45"/>
        <v>2519.9852760000003</v>
      </c>
      <c r="AB37" s="414">
        <f t="shared" si="46"/>
        <v>6749.3244839200006</v>
      </c>
      <c r="AC37" s="414">
        <f t="shared" si="47"/>
        <v>55999.6728</v>
      </c>
      <c r="AD37" s="416">
        <f t="shared" si="65"/>
        <v>2519.9852760000003</v>
      </c>
      <c r="AE37" s="414">
        <f t="shared" si="48"/>
        <v>6749.3244839200006</v>
      </c>
      <c r="AF37" s="414">
        <f t="shared" si="49"/>
        <v>65332.9516</v>
      </c>
      <c r="AG37" s="416">
        <f>H37*0.27</f>
        <v>2519.9852760000003</v>
      </c>
      <c r="AH37" s="414">
        <f t="shared" si="50"/>
        <v>6749.3244839200006</v>
      </c>
      <c r="AI37" s="414">
        <f t="shared" si="51"/>
        <v>74666.2304</v>
      </c>
      <c r="AJ37" s="416">
        <f>H37*0.27</f>
        <v>2519.9852760000003</v>
      </c>
      <c r="AK37" s="414">
        <f t="shared" si="52"/>
        <v>6749.3244839200006</v>
      </c>
      <c r="AL37" s="414">
        <f t="shared" si="53"/>
        <v>83999.5092</v>
      </c>
      <c r="AM37" s="416">
        <f>H37*0.27</f>
        <v>2519.9852760000003</v>
      </c>
      <c r="AN37" s="414">
        <f t="shared" si="54"/>
        <v>6749.3244839200006</v>
      </c>
      <c r="AO37" s="414">
        <f t="shared" si="55"/>
        <v>93332.788</v>
      </c>
      <c r="AP37" s="417">
        <f>(AO37-88000)*0.35+(88000-AL37)*0.27</f>
        <v>2946.6083159999998</v>
      </c>
      <c r="AQ37" s="414">
        <f t="shared" ref="AQ37:AQ54" si="70">H37-M37-$AP$26</f>
        <v>7901.4692237200015</v>
      </c>
      <c r="AR37" s="414">
        <f t="shared" si="57"/>
        <v>102666.0668</v>
      </c>
      <c r="AS37" s="417">
        <f t="shared" si="58"/>
        <v>3266.6475799999998</v>
      </c>
      <c r="AT37" s="414">
        <f t="shared" si="59"/>
        <v>6002.6621799200011</v>
      </c>
      <c r="AU37" s="414">
        <f t="shared" si="60"/>
        <v>111999.3456</v>
      </c>
      <c r="AV37" s="417">
        <f t="shared" si="61"/>
        <v>3266.6475799999998</v>
      </c>
      <c r="AW37" s="414">
        <f t="shared" si="62"/>
        <v>6002.6621799200011</v>
      </c>
      <c r="AX37" s="292"/>
    </row>
    <row r="38" spans="1:50" ht="28.5" x14ac:dyDescent="0.45">
      <c r="A38" s="736"/>
      <c r="B38" s="424" t="s">
        <v>224</v>
      </c>
      <c r="C38" s="410">
        <v>300</v>
      </c>
      <c r="D38" s="411">
        <v>4996.0199999999995</v>
      </c>
      <c r="E38" s="411">
        <v>9992.0399999999991</v>
      </c>
      <c r="F38" s="411">
        <f t="shared" si="34"/>
        <v>14988.059999999998</v>
      </c>
      <c r="G38" s="276">
        <v>359</v>
      </c>
      <c r="H38" s="412">
        <f t="shared" si="63"/>
        <v>6421.5983439999991</v>
      </c>
      <c r="I38" s="398">
        <v>0.19</v>
      </c>
      <c r="J38" s="397">
        <v>4900</v>
      </c>
      <c r="K38" s="361">
        <f t="shared" si="12"/>
        <v>4921.0140934395986</v>
      </c>
      <c r="L38" s="361">
        <f t="shared" si="64"/>
        <v>5235.1213759995735</v>
      </c>
      <c r="M38" s="413">
        <f t="shared" si="13"/>
        <v>44.751949070399995</v>
      </c>
      <c r="N38" s="414">
        <f t="shared" si="14"/>
        <v>6421.5983439999991</v>
      </c>
      <c r="O38" s="420">
        <f t="shared" si="68"/>
        <v>963.23975159999986</v>
      </c>
      <c r="P38" s="414">
        <f t="shared" si="36"/>
        <v>5413.6066433295991</v>
      </c>
      <c r="Q38" s="414">
        <f t="shared" si="15"/>
        <v>12843.196687999998</v>
      </c>
      <c r="R38" s="415">
        <f t="shared" si="69"/>
        <v>1105.3995859999998</v>
      </c>
      <c r="S38" s="414">
        <f t="shared" si="37"/>
        <v>5271.4468089295997</v>
      </c>
      <c r="T38" s="414">
        <f t="shared" si="38"/>
        <v>19264.795031999998</v>
      </c>
      <c r="U38" s="415">
        <f>N38*0.2</f>
        <v>1284.3196687999998</v>
      </c>
      <c r="V38" s="414">
        <f t="shared" si="40"/>
        <v>5092.5267261295994</v>
      </c>
      <c r="W38" s="414">
        <f t="shared" si="41"/>
        <v>25686.393375999996</v>
      </c>
      <c r="X38" s="416">
        <f>(W38-25000)*0.27+(25000-T38)*0.2</f>
        <v>1332.3672051199994</v>
      </c>
      <c r="Y38" s="414">
        <f t="shared" si="43"/>
        <v>5044.4791898096</v>
      </c>
      <c r="Z38" s="414">
        <f t="shared" si="44"/>
        <v>32107.991719999995</v>
      </c>
      <c r="AA38" s="416">
        <f t="shared" si="45"/>
        <v>1733.8315528799999</v>
      </c>
      <c r="AB38" s="414">
        <f t="shared" si="46"/>
        <v>4643.0148420495989</v>
      </c>
      <c r="AC38" s="414">
        <f t="shared" si="47"/>
        <v>38529.590063999996</v>
      </c>
      <c r="AD38" s="416">
        <f t="shared" si="65"/>
        <v>1733.8315528799999</v>
      </c>
      <c r="AE38" s="414">
        <f t="shared" si="48"/>
        <v>4643.0148420495989</v>
      </c>
      <c r="AF38" s="414">
        <f t="shared" si="49"/>
        <v>44951.188407999995</v>
      </c>
      <c r="AG38" s="416">
        <f>H38*0.27</f>
        <v>1733.8315528799999</v>
      </c>
      <c r="AH38" s="414">
        <f t="shared" si="50"/>
        <v>4643.0148420495989</v>
      </c>
      <c r="AI38" s="414">
        <f t="shared" si="51"/>
        <v>51372.786751999993</v>
      </c>
      <c r="AJ38" s="416">
        <f>H38*0.27</f>
        <v>1733.8315528799999</v>
      </c>
      <c r="AK38" s="414">
        <f t="shared" si="52"/>
        <v>4643.0148420495989</v>
      </c>
      <c r="AL38" s="414">
        <f t="shared" si="53"/>
        <v>57794.385095999991</v>
      </c>
      <c r="AM38" s="416">
        <f>H38*0.27</f>
        <v>1733.8315528799999</v>
      </c>
      <c r="AN38" s="414">
        <f t="shared" si="54"/>
        <v>4643.0148420495989</v>
      </c>
      <c r="AO38" s="414">
        <f t="shared" si="55"/>
        <v>64215.983439999989</v>
      </c>
      <c r="AP38" s="416">
        <f>H38*0.27</f>
        <v>1733.8315528799999</v>
      </c>
      <c r="AQ38" s="414">
        <f t="shared" si="70"/>
        <v>5009.0058587295989</v>
      </c>
      <c r="AR38" s="414">
        <f t="shared" si="57"/>
        <v>70637.581783999995</v>
      </c>
      <c r="AS38" s="416">
        <f>H38*0.27</f>
        <v>1733.8315528799999</v>
      </c>
      <c r="AT38" s="414">
        <f t="shared" si="59"/>
        <v>4643.0148420495989</v>
      </c>
      <c r="AU38" s="414">
        <f t="shared" si="60"/>
        <v>77059.180127999993</v>
      </c>
      <c r="AV38" s="416">
        <f>H38*0.27</f>
        <v>1733.8315528799999</v>
      </c>
      <c r="AW38" s="414">
        <f t="shared" si="62"/>
        <v>4643.0148420495989</v>
      </c>
      <c r="AX38" s="292"/>
    </row>
    <row r="39" spans="1:50" ht="28.5" x14ac:dyDescent="0.45">
      <c r="A39" s="736" t="s">
        <v>29</v>
      </c>
      <c r="B39" s="418" t="s">
        <v>221</v>
      </c>
      <c r="C39" s="406">
        <v>600</v>
      </c>
      <c r="D39" s="419">
        <v>4996.0199999999995</v>
      </c>
      <c r="E39" s="419">
        <v>19984.079999999998</v>
      </c>
      <c r="F39" s="419">
        <f t="shared" si="34"/>
        <v>24980.1</v>
      </c>
      <c r="G39" s="276">
        <v>359</v>
      </c>
      <c r="H39" s="412">
        <f t="shared" si="63"/>
        <v>16283.741823999997</v>
      </c>
      <c r="I39" s="396">
        <v>0.62</v>
      </c>
      <c r="J39" s="397">
        <v>11600</v>
      </c>
      <c r="K39" s="361">
        <f t="shared" si="12"/>
        <v>11669.712514744928</v>
      </c>
      <c r="L39" s="361">
        <f t="shared" si="64"/>
        <v>12414.58778164354</v>
      </c>
      <c r="M39" s="413">
        <f t="shared" si="13"/>
        <v>109.84209603839997</v>
      </c>
      <c r="N39" s="414">
        <f t="shared" si="14"/>
        <v>16283.741823999997</v>
      </c>
      <c r="O39" s="415">
        <f t="shared" si="35"/>
        <v>2756.7483647999998</v>
      </c>
      <c r="P39" s="414">
        <f t="shared" si="36"/>
        <v>13417.151363161598</v>
      </c>
      <c r="Q39" s="414">
        <f t="shared" si="15"/>
        <v>32567.483647999994</v>
      </c>
      <c r="R39" s="416">
        <f>(Q39-25000)*0.27+(25000-N39)*0.2</f>
        <v>3786.4722201599989</v>
      </c>
      <c r="S39" s="414">
        <f t="shared" si="37"/>
        <v>12387.4275078016</v>
      </c>
      <c r="T39" s="414">
        <f t="shared" si="38"/>
        <v>48851.225471999991</v>
      </c>
      <c r="U39" s="416">
        <f t="shared" ref="U39" si="71">N39*0.27</f>
        <v>4396.6102924799998</v>
      </c>
      <c r="V39" s="414">
        <f t="shared" si="40"/>
        <v>11777.289435481598</v>
      </c>
      <c r="W39" s="414">
        <f t="shared" si="41"/>
        <v>65134.967295999988</v>
      </c>
      <c r="X39" s="416">
        <f t="shared" ref="X39:X45" si="72">H39*0.27</f>
        <v>4396.6102924799998</v>
      </c>
      <c r="Y39" s="414">
        <f t="shared" si="43"/>
        <v>11777.289435481598</v>
      </c>
      <c r="Z39" s="414">
        <f t="shared" si="44"/>
        <v>81418.709119999985</v>
      </c>
      <c r="AA39" s="416">
        <f t="shared" si="45"/>
        <v>4396.6102924799998</v>
      </c>
      <c r="AB39" s="414">
        <f t="shared" si="46"/>
        <v>11777.289435481598</v>
      </c>
      <c r="AC39" s="414">
        <f t="shared" si="47"/>
        <v>97702.450943999982</v>
      </c>
      <c r="AD39" s="417">
        <f>(AC39-88000)*0.35+(88000-Z39)*0.27</f>
        <v>5172.8063679999977</v>
      </c>
      <c r="AE39" s="414">
        <f t="shared" si="48"/>
        <v>11001.0933599616</v>
      </c>
      <c r="AF39" s="414">
        <f t="shared" si="49"/>
        <v>113986.19276799998</v>
      </c>
      <c r="AG39" s="417">
        <f>H39*0.35</f>
        <v>5699.3096383999982</v>
      </c>
      <c r="AH39" s="414">
        <f t="shared" si="50"/>
        <v>10474.5900895616</v>
      </c>
      <c r="AI39" s="414">
        <f t="shared" si="51"/>
        <v>130269.93459199998</v>
      </c>
      <c r="AJ39" s="417">
        <f>H39*0.35</f>
        <v>5699.3096383999982</v>
      </c>
      <c r="AK39" s="414">
        <f t="shared" si="52"/>
        <v>10474.5900895616</v>
      </c>
      <c r="AL39" s="414">
        <f t="shared" si="53"/>
        <v>146553.67641599997</v>
      </c>
      <c r="AM39" s="417">
        <f>H39*0.35</f>
        <v>5699.3096383999982</v>
      </c>
      <c r="AN39" s="414">
        <f t="shared" si="54"/>
        <v>10474.5900895616</v>
      </c>
      <c r="AO39" s="414">
        <f t="shared" si="55"/>
        <v>162837.41823999997</v>
      </c>
      <c r="AP39" s="417">
        <f>H39*0.35</f>
        <v>5699.3096383999982</v>
      </c>
      <c r="AQ39" s="414">
        <f t="shared" si="70"/>
        <v>14806.059191761598</v>
      </c>
      <c r="AR39" s="414">
        <f t="shared" si="57"/>
        <v>179121.16006399997</v>
      </c>
      <c r="AS39" s="417">
        <f t="shared" ref="AS39:AS45" si="73">H39*0.35</f>
        <v>5699.3096383999982</v>
      </c>
      <c r="AT39" s="414">
        <f t="shared" si="59"/>
        <v>10474.5900895616</v>
      </c>
      <c r="AU39" s="414">
        <f t="shared" si="60"/>
        <v>195404.90188799996</v>
      </c>
      <c r="AV39" s="417">
        <f t="shared" ref="AV39:AV45" si="74">H39*0.35</f>
        <v>5699.3096383999982</v>
      </c>
      <c r="AW39" s="414">
        <f t="shared" si="62"/>
        <v>10474.5900895616</v>
      </c>
      <c r="AX39" s="292"/>
    </row>
    <row r="40" spans="1:50" ht="28.5" x14ac:dyDescent="0.45">
      <c r="A40" s="736"/>
      <c r="B40" s="418" t="s">
        <v>222</v>
      </c>
      <c r="C40" s="406">
        <v>600</v>
      </c>
      <c r="D40" s="419">
        <v>4996.0199999999995</v>
      </c>
      <c r="E40" s="419">
        <v>19984.079999999998</v>
      </c>
      <c r="F40" s="419">
        <f t="shared" si="34"/>
        <v>24980.1</v>
      </c>
      <c r="G40" s="276">
        <v>359</v>
      </c>
      <c r="H40" s="412">
        <f t="shared" si="63"/>
        <v>10836.081615999999</v>
      </c>
      <c r="I40" s="396">
        <v>0.33</v>
      </c>
      <c r="J40" s="397">
        <v>7900</v>
      </c>
      <c r="K40" s="361">
        <f t="shared" si="12"/>
        <v>8005.7978475177342</v>
      </c>
      <c r="L40" s="361">
        <f t="shared" si="64"/>
        <v>8516.8062207635467</v>
      </c>
      <c r="M40" s="413">
        <f t="shared" si="13"/>
        <v>73.88753866559999</v>
      </c>
      <c r="N40" s="414">
        <f t="shared" si="14"/>
        <v>10836.081615999999</v>
      </c>
      <c r="O40" s="415">
        <f t="shared" si="35"/>
        <v>1667.2163231999998</v>
      </c>
      <c r="P40" s="414">
        <f t="shared" si="36"/>
        <v>9094.9777541343992</v>
      </c>
      <c r="Q40" s="414">
        <f t="shared" si="15"/>
        <v>21672.163231999999</v>
      </c>
      <c r="R40" s="415">
        <f>H40*0.2</f>
        <v>2167.2163231999998</v>
      </c>
      <c r="S40" s="414">
        <f t="shared" si="37"/>
        <v>8594.9777541343992</v>
      </c>
      <c r="T40" s="414">
        <f t="shared" si="38"/>
        <v>32508.244847999998</v>
      </c>
      <c r="U40" s="416">
        <f t="shared" ref="U40:U45" si="75">(T40-25000)*0.27+(25000-Q40)*0.2</f>
        <v>2692.7934625600001</v>
      </c>
      <c r="V40" s="414">
        <f t="shared" si="40"/>
        <v>8069.4006147743994</v>
      </c>
      <c r="W40" s="414">
        <f t="shared" si="41"/>
        <v>43344.326463999998</v>
      </c>
      <c r="X40" s="416">
        <f t="shared" si="72"/>
        <v>2925.7420363199999</v>
      </c>
      <c r="Y40" s="414">
        <f t="shared" si="43"/>
        <v>7836.4520410143996</v>
      </c>
      <c r="Z40" s="414">
        <f t="shared" si="44"/>
        <v>54180.408079999994</v>
      </c>
      <c r="AA40" s="416">
        <f t="shared" si="45"/>
        <v>2925.7420363199999</v>
      </c>
      <c r="AB40" s="414">
        <f t="shared" si="46"/>
        <v>7836.4520410143996</v>
      </c>
      <c r="AC40" s="414">
        <f t="shared" si="47"/>
        <v>65016.489695999997</v>
      </c>
      <c r="AD40" s="416">
        <f t="shared" ref="AD40:AD51" si="76">H40*0.27</f>
        <v>2925.7420363199999</v>
      </c>
      <c r="AE40" s="414">
        <f t="shared" si="48"/>
        <v>7836.4520410143996</v>
      </c>
      <c r="AF40" s="414">
        <f t="shared" si="49"/>
        <v>75852.571312</v>
      </c>
      <c r="AG40" s="416">
        <f>H40*0.27</f>
        <v>2925.7420363199999</v>
      </c>
      <c r="AH40" s="414">
        <f t="shared" si="50"/>
        <v>7836.4520410143996</v>
      </c>
      <c r="AI40" s="414">
        <f t="shared" si="51"/>
        <v>86688.652927999996</v>
      </c>
      <c r="AJ40" s="416">
        <f>H40*0.27</f>
        <v>2925.7420363199999</v>
      </c>
      <c r="AK40" s="414">
        <f t="shared" si="52"/>
        <v>7836.4520410143996</v>
      </c>
      <c r="AL40" s="414">
        <f t="shared" si="53"/>
        <v>97524.734543999992</v>
      </c>
      <c r="AM40" s="417">
        <f>(AL40-88000)*0.35+(88000-AI40)*0.27</f>
        <v>3687.7207998399981</v>
      </c>
      <c r="AN40" s="414">
        <f t="shared" si="54"/>
        <v>7074.4732774944014</v>
      </c>
      <c r="AO40" s="414">
        <f t="shared" si="55"/>
        <v>108360.81615999999</v>
      </c>
      <c r="AP40" s="417">
        <f>H40*0.35</f>
        <v>3792.6285655999995</v>
      </c>
      <c r="AQ40" s="414">
        <f t="shared" si="70"/>
        <v>9394.3535411344001</v>
      </c>
      <c r="AR40" s="414">
        <f t="shared" si="57"/>
        <v>119196.897776</v>
      </c>
      <c r="AS40" s="417">
        <f t="shared" si="73"/>
        <v>3792.6285655999995</v>
      </c>
      <c r="AT40" s="414">
        <f t="shared" si="59"/>
        <v>6969.5655117343995</v>
      </c>
      <c r="AU40" s="414">
        <f t="shared" si="60"/>
        <v>130032.97939199999</v>
      </c>
      <c r="AV40" s="417">
        <f t="shared" si="74"/>
        <v>3792.6285655999995</v>
      </c>
      <c r="AW40" s="414">
        <f t="shared" si="62"/>
        <v>6969.5655117343995</v>
      </c>
      <c r="AX40" s="292"/>
    </row>
    <row r="41" spans="1:50" ht="28.5" x14ac:dyDescent="0.45">
      <c r="A41" s="736"/>
      <c r="B41" s="409" t="s">
        <v>32</v>
      </c>
      <c r="C41" s="410">
        <v>450</v>
      </c>
      <c r="D41" s="411">
        <v>4996.0199999999995</v>
      </c>
      <c r="E41" s="411">
        <v>14988.06</v>
      </c>
      <c r="F41" s="411">
        <f t="shared" si="34"/>
        <v>19984.079999999998</v>
      </c>
      <c r="G41" s="276">
        <v>359</v>
      </c>
      <c r="H41" s="412">
        <f t="shared" si="63"/>
        <v>12385.847019999999</v>
      </c>
      <c r="I41" s="396">
        <v>0.55000000000000004</v>
      </c>
      <c r="J41" s="397">
        <v>9000</v>
      </c>
      <c r="K41" s="361">
        <f t="shared" si="12"/>
        <v>9048.1183994013318</v>
      </c>
      <c r="L41" s="361">
        <f t="shared" si="64"/>
        <v>9625.6578717035445</v>
      </c>
      <c r="M41" s="413">
        <f t="shared" si="13"/>
        <v>84.115990331999996</v>
      </c>
      <c r="N41" s="414">
        <f t="shared" si="14"/>
        <v>12385.847019999999</v>
      </c>
      <c r="O41" s="415">
        <f t="shared" si="35"/>
        <v>1977.1694039999998</v>
      </c>
      <c r="P41" s="414">
        <f t="shared" si="36"/>
        <v>10324.561625667999</v>
      </c>
      <c r="Q41" s="414">
        <f t="shared" si="15"/>
        <v>24771.694039999998</v>
      </c>
      <c r="R41" s="415">
        <f>H41*0.2</f>
        <v>2477.1694040000002</v>
      </c>
      <c r="S41" s="414">
        <f t="shared" si="37"/>
        <v>9824.5616256679987</v>
      </c>
      <c r="T41" s="414">
        <f t="shared" si="38"/>
        <v>37157.541059999996</v>
      </c>
      <c r="U41" s="416">
        <f t="shared" si="75"/>
        <v>3328.1972781999998</v>
      </c>
      <c r="V41" s="414">
        <f t="shared" si="40"/>
        <v>8973.5337514679995</v>
      </c>
      <c r="W41" s="414">
        <f t="shared" si="41"/>
        <v>49543.388079999997</v>
      </c>
      <c r="X41" s="416">
        <f t="shared" si="72"/>
        <v>3344.1786953999999</v>
      </c>
      <c r="Y41" s="414">
        <f t="shared" si="43"/>
        <v>8957.552334267999</v>
      </c>
      <c r="Z41" s="414">
        <f t="shared" si="44"/>
        <v>61929.235099999998</v>
      </c>
      <c r="AA41" s="416">
        <f t="shared" si="45"/>
        <v>3344.1786953999999</v>
      </c>
      <c r="AB41" s="414">
        <f t="shared" si="46"/>
        <v>8957.552334267999</v>
      </c>
      <c r="AC41" s="414">
        <f t="shared" si="47"/>
        <v>74315.082119999992</v>
      </c>
      <c r="AD41" s="416">
        <f t="shared" si="76"/>
        <v>3344.1786953999999</v>
      </c>
      <c r="AE41" s="414">
        <f t="shared" si="48"/>
        <v>8957.552334267999</v>
      </c>
      <c r="AF41" s="414">
        <f t="shared" si="49"/>
        <v>86700.929139999993</v>
      </c>
      <c r="AG41" s="416">
        <f>H41*0.27</f>
        <v>3344.1786953999999</v>
      </c>
      <c r="AH41" s="414">
        <f t="shared" si="50"/>
        <v>8957.552334267999</v>
      </c>
      <c r="AI41" s="414">
        <f t="shared" si="51"/>
        <v>99086.776159999994</v>
      </c>
      <c r="AJ41" s="417">
        <f>(AI41-88000)*0.35+(88000-AF41)*0.27</f>
        <v>4231.1207881999999</v>
      </c>
      <c r="AK41" s="414">
        <f t="shared" si="52"/>
        <v>8070.610241467999</v>
      </c>
      <c r="AL41" s="414">
        <f t="shared" si="53"/>
        <v>111472.62318</v>
      </c>
      <c r="AM41" s="417">
        <f>H41*0.35</f>
        <v>4335.0464569999995</v>
      </c>
      <c r="AN41" s="414">
        <f t="shared" si="54"/>
        <v>7966.6845726679994</v>
      </c>
      <c r="AO41" s="414">
        <f t="shared" si="55"/>
        <v>123858.4702</v>
      </c>
      <c r="AP41" s="417">
        <f>H41*0.35</f>
        <v>4335.0464569999995</v>
      </c>
      <c r="AQ41" s="414">
        <f t="shared" si="70"/>
        <v>10933.890493467999</v>
      </c>
      <c r="AR41" s="414">
        <f t="shared" si="57"/>
        <v>136244.31722</v>
      </c>
      <c r="AS41" s="417">
        <f t="shared" si="73"/>
        <v>4335.0464569999995</v>
      </c>
      <c r="AT41" s="414">
        <f t="shared" si="59"/>
        <v>7966.6845726679994</v>
      </c>
      <c r="AU41" s="414">
        <f t="shared" si="60"/>
        <v>148630.16423999998</v>
      </c>
      <c r="AV41" s="417">
        <f t="shared" si="74"/>
        <v>4335.0464569999995</v>
      </c>
      <c r="AW41" s="414">
        <f t="shared" si="62"/>
        <v>7966.6845726679994</v>
      </c>
      <c r="AX41" s="292"/>
    </row>
    <row r="42" spans="1:50" ht="28.5" x14ac:dyDescent="0.45">
      <c r="A42" s="736"/>
      <c r="B42" s="409" t="s">
        <v>237</v>
      </c>
      <c r="C42" s="410">
        <v>450</v>
      </c>
      <c r="D42" s="411">
        <v>4996.0199999999995</v>
      </c>
      <c r="E42" s="411">
        <v>14988.06</v>
      </c>
      <c r="F42" s="411">
        <f t="shared" si="34"/>
        <v>19984.079999999998</v>
      </c>
      <c r="G42" s="276">
        <v>359</v>
      </c>
      <c r="H42" s="412">
        <f t="shared" si="63"/>
        <v>10836.081615999999</v>
      </c>
      <c r="I42" s="396">
        <v>0.44</v>
      </c>
      <c r="J42" s="397">
        <v>8000</v>
      </c>
      <c r="K42" s="361">
        <f t="shared" si="12"/>
        <v>8005.7978475177342</v>
      </c>
      <c r="L42" s="361">
        <f t="shared" si="64"/>
        <v>8516.8062207635467</v>
      </c>
      <c r="M42" s="413">
        <f t="shared" si="13"/>
        <v>73.88753866559999</v>
      </c>
      <c r="N42" s="414">
        <f t="shared" si="14"/>
        <v>10836.081615999999</v>
      </c>
      <c r="O42" s="415">
        <f t="shared" si="35"/>
        <v>1667.2163231999998</v>
      </c>
      <c r="P42" s="414">
        <f t="shared" si="36"/>
        <v>9094.9777541343992</v>
      </c>
      <c r="Q42" s="414">
        <f t="shared" si="15"/>
        <v>21672.163231999999</v>
      </c>
      <c r="R42" s="415">
        <f>H42*0.2</f>
        <v>2167.2163231999998</v>
      </c>
      <c r="S42" s="414">
        <f t="shared" si="37"/>
        <v>8594.9777541343992</v>
      </c>
      <c r="T42" s="414">
        <f t="shared" si="38"/>
        <v>32508.244847999998</v>
      </c>
      <c r="U42" s="416">
        <f t="shared" si="75"/>
        <v>2692.7934625600001</v>
      </c>
      <c r="V42" s="414">
        <f t="shared" si="40"/>
        <v>8069.4006147743994</v>
      </c>
      <c r="W42" s="414">
        <f t="shared" si="41"/>
        <v>43344.326463999998</v>
      </c>
      <c r="X42" s="416">
        <f t="shared" si="72"/>
        <v>2925.7420363199999</v>
      </c>
      <c r="Y42" s="414">
        <f t="shared" si="43"/>
        <v>7836.4520410143996</v>
      </c>
      <c r="Z42" s="414">
        <f t="shared" si="44"/>
        <v>54180.408079999994</v>
      </c>
      <c r="AA42" s="416">
        <f t="shared" si="45"/>
        <v>2925.7420363199999</v>
      </c>
      <c r="AB42" s="414">
        <f t="shared" si="46"/>
        <v>7836.4520410143996</v>
      </c>
      <c r="AC42" s="414">
        <f t="shared" si="47"/>
        <v>65016.489695999997</v>
      </c>
      <c r="AD42" s="416">
        <f t="shared" si="76"/>
        <v>2925.7420363199999</v>
      </c>
      <c r="AE42" s="414">
        <f t="shared" si="48"/>
        <v>7836.4520410143996</v>
      </c>
      <c r="AF42" s="414">
        <f t="shared" si="49"/>
        <v>75852.571312</v>
      </c>
      <c r="AG42" s="416">
        <f t="shared" ref="AG42:AG52" si="77">H42*0.27</f>
        <v>2925.7420363199999</v>
      </c>
      <c r="AH42" s="414">
        <f t="shared" si="50"/>
        <v>7836.4520410143996</v>
      </c>
      <c r="AI42" s="414">
        <f t="shared" si="51"/>
        <v>86688.652927999996</v>
      </c>
      <c r="AJ42" s="417">
        <f>(AI42-88000)*0.35+(88000-AF42)*0.27</f>
        <v>2820.8342705599989</v>
      </c>
      <c r="AK42" s="414">
        <f t="shared" si="52"/>
        <v>7941.3598067744006</v>
      </c>
      <c r="AL42" s="414">
        <f t="shared" si="53"/>
        <v>97524.734543999992</v>
      </c>
      <c r="AM42" s="417">
        <f>H42*0.35</f>
        <v>3792.6285655999995</v>
      </c>
      <c r="AN42" s="414">
        <f t="shared" si="54"/>
        <v>6969.5655117343995</v>
      </c>
      <c r="AO42" s="414">
        <f t="shared" si="55"/>
        <v>108360.81615999999</v>
      </c>
      <c r="AP42" s="417">
        <f>H42*0.35</f>
        <v>3792.6285655999995</v>
      </c>
      <c r="AQ42" s="414">
        <f t="shared" si="70"/>
        <v>9394.3535411344001</v>
      </c>
      <c r="AR42" s="414">
        <f t="shared" si="57"/>
        <v>119196.897776</v>
      </c>
      <c r="AS42" s="417">
        <f t="shared" si="73"/>
        <v>3792.6285655999995</v>
      </c>
      <c r="AT42" s="414">
        <f t="shared" si="59"/>
        <v>6969.5655117343995</v>
      </c>
      <c r="AU42" s="414">
        <f t="shared" si="60"/>
        <v>130032.97939199999</v>
      </c>
      <c r="AV42" s="417">
        <f t="shared" si="74"/>
        <v>3792.6285655999995</v>
      </c>
      <c r="AW42" s="414">
        <f t="shared" si="62"/>
        <v>6969.5655117343995</v>
      </c>
      <c r="AX42" s="292"/>
    </row>
    <row r="43" spans="1:50" ht="28.5" x14ac:dyDescent="0.45">
      <c r="A43" s="736"/>
      <c r="B43" s="409" t="s">
        <v>225</v>
      </c>
      <c r="C43" s="410">
        <v>450</v>
      </c>
      <c r="D43" s="411">
        <v>4996.0199999999995</v>
      </c>
      <c r="E43" s="411">
        <v>14988.06</v>
      </c>
      <c r="F43" s="411">
        <f t="shared" si="34"/>
        <v>19984.079999999998</v>
      </c>
      <c r="G43" s="276">
        <v>359</v>
      </c>
      <c r="H43" s="412">
        <f t="shared" si="63"/>
        <v>9427.2039760000007</v>
      </c>
      <c r="I43" s="396">
        <v>0.34</v>
      </c>
      <c r="J43" s="397">
        <v>7000</v>
      </c>
      <c r="K43" s="361">
        <f t="shared" si="12"/>
        <v>7037.1992813350671</v>
      </c>
      <c r="L43" s="361">
        <f t="shared" si="64"/>
        <v>7486.382214186242</v>
      </c>
      <c r="M43" s="413">
        <f t="shared" si="13"/>
        <v>64.588946241599999</v>
      </c>
      <c r="N43" s="414">
        <f t="shared" si="14"/>
        <v>9427.2039760000007</v>
      </c>
      <c r="O43" s="420">
        <f t="shared" ref="O43:O54" si="78">N43*0.15</f>
        <v>1414.0805964000001</v>
      </c>
      <c r="P43" s="414">
        <f t="shared" si="36"/>
        <v>7948.5344333584007</v>
      </c>
      <c r="Q43" s="414">
        <f t="shared" si="15"/>
        <v>18854.407952000001</v>
      </c>
      <c r="R43" s="415">
        <f t="shared" ref="R43:R51" si="79">(Q43-10000)*0.2+(10000-N43)*0.15</f>
        <v>1856.8009940000002</v>
      </c>
      <c r="S43" s="414">
        <f t="shared" si="37"/>
        <v>7505.8140357584007</v>
      </c>
      <c r="T43" s="414">
        <f t="shared" si="38"/>
        <v>28281.611928000002</v>
      </c>
      <c r="U43" s="416">
        <f t="shared" si="75"/>
        <v>2115.1536301600004</v>
      </c>
      <c r="V43" s="414">
        <f t="shared" si="40"/>
        <v>7247.4613995984</v>
      </c>
      <c r="W43" s="414">
        <f t="shared" si="41"/>
        <v>37708.815904000003</v>
      </c>
      <c r="X43" s="416">
        <f t="shared" si="72"/>
        <v>2545.3450735200004</v>
      </c>
      <c r="Y43" s="414">
        <f t="shared" si="43"/>
        <v>6817.2699562384005</v>
      </c>
      <c r="Z43" s="414">
        <f t="shared" si="44"/>
        <v>47136.019880000007</v>
      </c>
      <c r="AA43" s="416">
        <f t="shared" si="45"/>
        <v>2545.3450735200004</v>
      </c>
      <c r="AB43" s="414">
        <f t="shared" si="46"/>
        <v>6817.2699562384005</v>
      </c>
      <c r="AC43" s="414">
        <f t="shared" si="47"/>
        <v>56563.223856000004</v>
      </c>
      <c r="AD43" s="416">
        <f t="shared" si="76"/>
        <v>2545.3450735200004</v>
      </c>
      <c r="AE43" s="414">
        <f t="shared" si="48"/>
        <v>6817.2699562384005</v>
      </c>
      <c r="AF43" s="414">
        <f t="shared" si="49"/>
        <v>65990.427832000001</v>
      </c>
      <c r="AG43" s="416">
        <f t="shared" si="77"/>
        <v>2545.3450735200004</v>
      </c>
      <c r="AH43" s="414">
        <f t="shared" si="50"/>
        <v>6817.2699562384005</v>
      </c>
      <c r="AI43" s="414">
        <f t="shared" si="51"/>
        <v>75417.631808000006</v>
      </c>
      <c r="AJ43" s="416">
        <f t="shared" ref="AJ43:AJ54" si="80">H43*0.27</f>
        <v>2545.3450735200004</v>
      </c>
      <c r="AK43" s="414">
        <f t="shared" si="52"/>
        <v>6817.2699562384005</v>
      </c>
      <c r="AL43" s="414">
        <f t="shared" si="53"/>
        <v>84844.83578400001</v>
      </c>
      <c r="AM43" s="416">
        <f>H43*0.27</f>
        <v>2545.3450735200004</v>
      </c>
      <c r="AN43" s="414">
        <f>H43-M43-AM43</f>
        <v>6817.2699562384005</v>
      </c>
      <c r="AO43" s="414">
        <f t="shared" si="55"/>
        <v>94272.039760000014</v>
      </c>
      <c r="AP43" s="417">
        <f>(AO43-88000)*0.35+(88000-AL43)*0.27</f>
        <v>3047.1082543200018</v>
      </c>
      <c r="AQ43" s="414">
        <f t="shared" si="70"/>
        <v>7994.7744935584014</v>
      </c>
      <c r="AR43" s="414">
        <f t="shared" si="57"/>
        <v>103699.243736</v>
      </c>
      <c r="AS43" s="417">
        <f t="shared" si="73"/>
        <v>3299.5213916000002</v>
      </c>
      <c r="AT43" s="414">
        <f t="shared" si="59"/>
        <v>6063.0936381584006</v>
      </c>
      <c r="AU43" s="414">
        <f t="shared" si="60"/>
        <v>113126.44771200001</v>
      </c>
      <c r="AV43" s="417">
        <f t="shared" si="74"/>
        <v>3299.5213916000002</v>
      </c>
      <c r="AW43" s="414">
        <f t="shared" si="62"/>
        <v>6063.0936381584006</v>
      </c>
      <c r="AX43" s="292"/>
    </row>
    <row r="44" spans="1:50" ht="28.5" x14ac:dyDescent="0.45">
      <c r="A44" s="736"/>
      <c r="B44" s="409" t="s">
        <v>243</v>
      </c>
      <c r="C44" s="410">
        <v>450</v>
      </c>
      <c r="D44" s="411">
        <v>4996.0199999999995</v>
      </c>
      <c r="E44" s="411">
        <v>14988.06</v>
      </c>
      <c r="F44" s="411">
        <f t="shared" si="34"/>
        <v>19984.079999999998</v>
      </c>
      <c r="G44" s="276">
        <v>359</v>
      </c>
      <c r="H44" s="412">
        <f t="shared" si="63"/>
        <v>9004.5406839999996</v>
      </c>
      <c r="I44" s="396">
        <v>0.31</v>
      </c>
      <c r="J44" s="397">
        <v>6700</v>
      </c>
      <c r="K44" s="361">
        <f t="shared" si="12"/>
        <v>6727.5702423922676</v>
      </c>
      <c r="L44" s="361">
        <f t="shared" si="64"/>
        <v>7156.9896195662423</v>
      </c>
      <c r="M44" s="413">
        <f t="shared" si="13"/>
        <v>61.799368514399994</v>
      </c>
      <c r="N44" s="414">
        <f t="shared" si="14"/>
        <v>9004.5406839999996</v>
      </c>
      <c r="O44" s="420">
        <f t="shared" si="78"/>
        <v>1350.6811025999998</v>
      </c>
      <c r="P44" s="414">
        <f t="shared" si="36"/>
        <v>7592.0602128856008</v>
      </c>
      <c r="Q44" s="414">
        <f t="shared" si="15"/>
        <v>18009.081367999999</v>
      </c>
      <c r="R44" s="415">
        <f t="shared" si="79"/>
        <v>1751.1351709999999</v>
      </c>
      <c r="S44" s="414">
        <f t="shared" si="37"/>
        <v>7191.6061444856005</v>
      </c>
      <c r="T44" s="414">
        <f t="shared" si="38"/>
        <v>27013.622051999999</v>
      </c>
      <c r="U44" s="416">
        <f t="shared" si="75"/>
        <v>1941.8616804399999</v>
      </c>
      <c r="V44" s="414">
        <f t="shared" si="40"/>
        <v>7000.8796350456005</v>
      </c>
      <c r="W44" s="414">
        <f t="shared" si="41"/>
        <v>36018.162735999998</v>
      </c>
      <c r="X44" s="416">
        <f t="shared" si="72"/>
        <v>2431.2259846800002</v>
      </c>
      <c r="Y44" s="414">
        <f t="shared" si="43"/>
        <v>6511.5153308055997</v>
      </c>
      <c r="Z44" s="414">
        <f t="shared" si="44"/>
        <v>45022.703419999998</v>
      </c>
      <c r="AA44" s="416">
        <f t="shared" si="45"/>
        <v>2431.2259846800002</v>
      </c>
      <c r="AB44" s="414">
        <f t="shared" si="46"/>
        <v>6511.5153308055997</v>
      </c>
      <c r="AC44" s="414">
        <f t="shared" si="47"/>
        <v>54027.244103999998</v>
      </c>
      <c r="AD44" s="416">
        <f t="shared" si="76"/>
        <v>2431.2259846800002</v>
      </c>
      <c r="AE44" s="414">
        <f t="shared" si="48"/>
        <v>6511.5153308055997</v>
      </c>
      <c r="AF44" s="414">
        <f t="shared" si="49"/>
        <v>63031.784787999997</v>
      </c>
      <c r="AG44" s="416">
        <f t="shared" si="77"/>
        <v>2431.2259846800002</v>
      </c>
      <c r="AH44" s="414">
        <f t="shared" si="50"/>
        <v>6511.5153308055997</v>
      </c>
      <c r="AI44" s="414">
        <f t="shared" si="51"/>
        <v>72036.325471999997</v>
      </c>
      <c r="AJ44" s="416">
        <f t="shared" si="80"/>
        <v>2431.2259846800002</v>
      </c>
      <c r="AK44" s="414">
        <f t="shared" si="52"/>
        <v>6511.5153308055997</v>
      </c>
      <c r="AL44" s="414">
        <f t="shared" si="53"/>
        <v>81040.866156000004</v>
      </c>
      <c r="AM44" s="416">
        <f>H44*0.27</f>
        <v>2431.2259846800002</v>
      </c>
      <c r="AN44" s="414">
        <f>H44-M44-AM44</f>
        <v>6511.5153308055997</v>
      </c>
      <c r="AO44" s="414">
        <f t="shared" si="55"/>
        <v>90045.406839999996</v>
      </c>
      <c r="AP44" s="417">
        <f>(AO44-88000)*0.35+(88000-AL44)*0.27</f>
        <v>2594.8585318799978</v>
      </c>
      <c r="AQ44" s="414">
        <f t="shared" si="70"/>
        <v>7574.9007792856009</v>
      </c>
      <c r="AR44" s="414">
        <f t="shared" si="57"/>
        <v>99049.947523999988</v>
      </c>
      <c r="AS44" s="417">
        <f t="shared" si="73"/>
        <v>3151.5892393999998</v>
      </c>
      <c r="AT44" s="414">
        <f t="shared" si="59"/>
        <v>5791.1520760856001</v>
      </c>
      <c r="AU44" s="414">
        <f t="shared" si="60"/>
        <v>108054.488208</v>
      </c>
      <c r="AV44" s="417">
        <f t="shared" si="74"/>
        <v>3151.5892393999998</v>
      </c>
      <c r="AW44" s="414">
        <f t="shared" si="62"/>
        <v>5791.1520760856001</v>
      </c>
      <c r="AX44" s="292"/>
    </row>
    <row r="45" spans="1:50" ht="28.5" x14ac:dyDescent="0.45">
      <c r="A45" s="736"/>
      <c r="B45" s="418" t="s">
        <v>226</v>
      </c>
      <c r="C45" s="406">
        <v>200</v>
      </c>
      <c r="D45" s="419">
        <v>4996.0199999999995</v>
      </c>
      <c r="E45" s="419">
        <v>6661.36</v>
      </c>
      <c r="F45" s="419">
        <f t="shared" si="34"/>
        <v>11657.38</v>
      </c>
      <c r="G45" s="276">
        <v>359</v>
      </c>
      <c r="H45" s="412">
        <f t="shared" si="63"/>
        <v>9208.0452320000004</v>
      </c>
      <c r="I45" s="396">
        <v>0.73</v>
      </c>
      <c r="J45" s="397">
        <v>6800</v>
      </c>
      <c r="K45" s="361">
        <f t="shared" si="12"/>
        <v>6876.6508907721336</v>
      </c>
      <c r="L45" s="361">
        <f t="shared" si="64"/>
        <v>7315.5860540129088</v>
      </c>
      <c r="M45" s="413">
        <f t="shared" si="13"/>
        <v>63.142498531200005</v>
      </c>
      <c r="N45" s="414">
        <f t="shared" si="14"/>
        <v>9208.0452320000004</v>
      </c>
      <c r="O45" s="420">
        <f t="shared" si="78"/>
        <v>1381.2067847999999</v>
      </c>
      <c r="P45" s="414">
        <f t="shared" si="36"/>
        <v>7763.6959486688002</v>
      </c>
      <c r="Q45" s="414">
        <f t="shared" si="15"/>
        <v>18416.090464000001</v>
      </c>
      <c r="R45" s="415">
        <f t="shared" si="79"/>
        <v>1802.0113080000001</v>
      </c>
      <c r="S45" s="414">
        <f t="shared" si="37"/>
        <v>7342.8914254687998</v>
      </c>
      <c r="T45" s="414">
        <f t="shared" si="38"/>
        <v>27624.135696000001</v>
      </c>
      <c r="U45" s="416">
        <f t="shared" si="75"/>
        <v>2025.2985451200002</v>
      </c>
      <c r="V45" s="414">
        <f t="shared" si="40"/>
        <v>7119.6041883487997</v>
      </c>
      <c r="W45" s="414">
        <f t="shared" si="41"/>
        <v>36832.180928000002</v>
      </c>
      <c r="X45" s="416">
        <f t="shared" si="72"/>
        <v>2486.1722126400005</v>
      </c>
      <c r="Y45" s="414">
        <f t="shared" si="43"/>
        <v>6658.7305208287999</v>
      </c>
      <c r="Z45" s="414">
        <f t="shared" si="44"/>
        <v>46040.226160000006</v>
      </c>
      <c r="AA45" s="416">
        <f t="shared" si="45"/>
        <v>2486.1722126400005</v>
      </c>
      <c r="AB45" s="414">
        <f t="shared" si="46"/>
        <v>6658.7305208287999</v>
      </c>
      <c r="AC45" s="414">
        <f t="shared" si="47"/>
        <v>55248.271392000002</v>
      </c>
      <c r="AD45" s="416">
        <f t="shared" si="76"/>
        <v>2486.1722126400005</v>
      </c>
      <c r="AE45" s="414">
        <f t="shared" si="48"/>
        <v>6658.7305208287999</v>
      </c>
      <c r="AF45" s="414">
        <f t="shared" si="49"/>
        <v>64456.316623999999</v>
      </c>
      <c r="AG45" s="416">
        <f t="shared" si="77"/>
        <v>2486.1722126400005</v>
      </c>
      <c r="AH45" s="414">
        <f t="shared" si="50"/>
        <v>6658.7305208287999</v>
      </c>
      <c r="AI45" s="414">
        <f t="shared" si="51"/>
        <v>73664.361856000003</v>
      </c>
      <c r="AJ45" s="416">
        <f t="shared" si="80"/>
        <v>2486.1722126400005</v>
      </c>
      <c r="AK45" s="414">
        <f t="shared" si="52"/>
        <v>6658.7305208287999</v>
      </c>
      <c r="AL45" s="414">
        <f t="shared" si="53"/>
        <v>82872.407088000007</v>
      </c>
      <c r="AM45" s="416">
        <f>H45*0.27</f>
        <v>2486.1722126400005</v>
      </c>
      <c r="AN45" s="414">
        <f t="shared" si="54"/>
        <v>6658.7305208287999</v>
      </c>
      <c r="AO45" s="414">
        <f t="shared" si="55"/>
        <v>92080.452320000011</v>
      </c>
      <c r="AP45" s="417">
        <f>(AO45-88000)*0.35+(88000-AL45)*0.27</f>
        <v>2812.6083982400023</v>
      </c>
      <c r="AQ45" s="414">
        <f t="shared" si="70"/>
        <v>7777.0621972688004</v>
      </c>
      <c r="AR45" s="414">
        <f t="shared" si="57"/>
        <v>101288.497552</v>
      </c>
      <c r="AS45" s="417">
        <f t="shared" si="73"/>
        <v>3222.8158312</v>
      </c>
      <c r="AT45" s="414">
        <f t="shared" si="59"/>
        <v>5922.0869022688003</v>
      </c>
      <c r="AU45" s="414">
        <f t="shared" si="60"/>
        <v>110496.542784</v>
      </c>
      <c r="AV45" s="417">
        <f t="shared" si="74"/>
        <v>3222.8158312</v>
      </c>
      <c r="AW45" s="414">
        <f t="shared" si="62"/>
        <v>5922.0869022688003</v>
      </c>
      <c r="AX45" s="292"/>
    </row>
    <row r="46" spans="1:50" ht="28.5" x14ac:dyDescent="0.45">
      <c r="A46" s="736"/>
      <c r="B46" s="418" t="s">
        <v>227</v>
      </c>
      <c r="C46" s="406">
        <v>200</v>
      </c>
      <c r="D46" s="419">
        <v>4996.0199999999995</v>
      </c>
      <c r="E46" s="419">
        <v>6661.36</v>
      </c>
      <c r="F46" s="419">
        <f t="shared" si="34"/>
        <v>11657.38</v>
      </c>
      <c r="G46" s="276">
        <v>359</v>
      </c>
      <c r="H46" s="412">
        <f t="shared" si="63"/>
        <v>8080.9431199999999</v>
      </c>
      <c r="I46" s="396">
        <v>0.55000000000000004</v>
      </c>
      <c r="J46" s="397">
        <v>6000</v>
      </c>
      <c r="K46" s="361">
        <f t="shared" si="12"/>
        <v>6092.9747501246666</v>
      </c>
      <c r="L46" s="361">
        <f t="shared" si="64"/>
        <v>6481.8880320475182</v>
      </c>
      <c r="M46" s="413">
        <f t="shared" si="13"/>
        <v>55.703624591999997</v>
      </c>
      <c r="N46" s="414">
        <f t="shared" si="14"/>
        <v>8080.9431199999999</v>
      </c>
      <c r="O46" s="420">
        <f t="shared" si="78"/>
        <v>1212.141468</v>
      </c>
      <c r="P46" s="414">
        <f t="shared" si="36"/>
        <v>6813.0980274080002</v>
      </c>
      <c r="Q46" s="414">
        <f t="shared" si="15"/>
        <v>16161.88624</v>
      </c>
      <c r="R46" s="415">
        <f t="shared" si="79"/>
        <v>1520.23578</v>
      </c>
      <c r="S46" s="414">
        <f t="shared" si="37"/>
        <v>6505.0037154080001</v>
      </c>
      <c r="T46" s="414">
        <f t="shared" si="38"/>
        <v>24242.82936</v>
      </c>
      <c r="U46" s="415">
        <f>H46*0.2</f>
        <v>1616.1886240000001</v>
      </c>
      <c r="V46" s="414">
        <f t="shared" si="40"/>
        <v>6409.0508714079997</v>
      </c>
      <c r="W46" s="414">
        <f t="shared" si="41"/>
        <v>32323.77248</v>
      </c>
      <c r="X46" s="416">
        <f>(W46-25000)*0.27+(25000-T46)*0.2</f>
        <v>2128.8526975999998</v>
      </c>
      <c r="Y46" s="414">
        <f t="shared" si="43"/>
        <v>5896.3867978079998</v>
      </c>
      <c r="Z46" s="414">
        <f t="shared" si="44"/>
        <v>40404.715599999996</v>
      </c>
      <c r="AA46" s="416">
        <f t="shared" si="45"/>
        <v>2181.8546424000001</v>
      </c>
      <c r="AB46" s="414">
        <f t="shared" si="46"/>
        <v>5843.3848530079995</v>
      </c>
      <c r="AC46" s="414">
        <f t="shared" si="47"/>
        <v>48485.658719999999</v>
      </c>
      <c r="AD46" s="416">
        <f t="shared" si="76"/>
        <v>2181.8546424000001</v>
      </c>
      <c r="AE46" s="414">
        <f t="shared" si="48"/>
        <v>5843.3848530079995</v>
      </c>
      <c r="AF46" s="414">
        <f t="shared" si="49"/>
        <v>56566.601840000003</v>
      </c>
      <c r="AG46" s="416">
        <f t="shared" si="77"/>
        <v>2181.8546424000001</v>
      </c>
      <c r="AH46" s="414">
        <f t="shared" si="50"/>
        <v>5843.3848530079995</v>
      </c>
      <c r="AI46" s="414">
        <f t="shared" si="51"/>
        <v>64647.544959999999</v>
      </c>
      <c r="AJ46" s="416">
        <f t="shared" si="80"/>
        <v>2181.8546424000001</v>
      </c>
      <c r="AK46" s="414">
        <f t="shared" si="52"/>
        <v>5843.3848530079995</v>
      </c>
      <c r="AL46" s="414">
        <f t="shared" si="53"/>
        <v>72728.488079999996</v>
      </c>
      <c r="AM46" s="416">
        <f>H46*0.27</f>
        <v>2181.8546424000001</v>
      </c>
      <c r="AN46" s="414">
        <f t="shared" si="54"/>
        <v>5843.3848530079995</v>
      </c>
      <c r="AO46" s="414">
        <f t="shared" si="55"/>
        <v>80809.431199999992</v>
      </c>
      <c r="AP46" s="416">
        <f>H46*0.27</f>
        <v>2181.8546424000001</v>
      </c>
      <c r="AQ46" s="414">
        <f t="shared" si="70"/>
        <v>6657.3989592079997</v>
      </c>
      <c r="AR46" s="414">
        <f t="shared" si="57"/>
        <v>88890.374320000003</v>
      </c>
      <c r="AS46" s="417">
        <f>(AR46-88000)*0.35+(88000-AO46)*0.27</f>
        <v>2253.0845880000034</v>
      </c>
      <c r="AT46" s="414">
        <f t="shared" si="59"/>
        <v>5772.1549074079967</v>
      </c>
      <c r="AU46" s="414">
        <f t="shared" si="60"/>
        <v>96971.317439999999</v>
      </c>
      <c r="AV46" s="417">
        <f>(AU46-88000)*0.35+(88000-AR46)*0.27</f>
        <v>2899.5600375999989</v>
      </c>
      <c r="AW46" s="414">
        <f t="shared" si="62"/>
        <v>5125.6794578080007</v>
      </c>
      <c r="AX46" s="292"/>
    </row>
    <row r="47" spans="1:50" ht="28.5" x14ac:dyDescent="0.45">
      <c r="A47" s="737" t="s">
        <v>31</v>
      </c>
      <c r="B47" s="432" t="s">
        <v>32</v>
      </c>
      <c r="C47" s="433">
        <v>270</v>
      </c>
      <c r="D47" s="411">
        <v>4996.0199999999995</v>
      </c>
      <c r="E47" s="411">
        <v>8992.8359999999993</v>
      </c>
      <c r="F47" s="411">
        <f t="shared" si="34"/>
        <v>13988.856</v>
      </c>
      <c r="G47" s="276">
        <v>359</v>
      </c>
      <c r="H47" s="412">
        <f t="shared" si="63"/>
        <v>9878.044820799998</v>
      </c>
      <c r="I47" s="396">
        <v>0.62</v>
      </c>
      <c r="J47" s="397">
        <v>7351</v>
      </c>
      <c r="K47" s="361">
        <f t="shared" si="12"/>
        <v>7361.4542336260529</v>
      </c>
      <c r="L47" s="361">
        <f t="shared" si="64"/>
        <v>7831.3342910915462</v>
      </c>
      <c r="M47" s="413">
        <f t="shared" si="13"/>
        <v>67.56449581727999</v>
      </c>
      <c r="N47" s="414">
        <f t="shared" si="14"/>
        <v>9878.044820799998</v>
      </c>
      <c r="O47" s="420">
        <f t="shared" si="78"/>
        <v>1481.7067231199997</v>
      </c>
      <c r="P47" s="414">
        <f t="shared" si="36"/>
        <v>8328.7736018627184</v>
      </c>
      <c r="Q47" s="414">
        <f t="shared" si="15"/>
        <v>19756.089641599996</v>
      </c>
      <c r="R47" s="415">
        <f t="shared" si="79"/>
        <v>1969.5112051999997</v>
      </c>
      <c r="S47" s="414">
        <f t="shared" si="37"/>
        <v>7840.9691197827187</v>
      </c>
      <c r="T47" s="414">
        <f t="shared" si="38"/>
        <v>29634.134462399994</v>
      </c>
      <c r="U47" s="416">
        <f>(T47-25000)*0.27+(25000-Q47)*0.2</f>
        <v>2299.9983765279994</v>
      </c>
      <c r="V47" s="414">
        <f t="shared" si="40"/>
        <v>7510.4819484547188</v>
      </c>
      <c r="W47" s="414">
        <f t="shared" si="41"/>
        <v>39512.179283199992</v>
      </c>
      <c r="X47" s="416">
        <f>H47*0.27</f>
        <v>2667.0721016159996</v>
      </c>
      <c r="Y47" s="414">
        <f t="shared" si="43"/>
        <v>7143.4082233667186</v>
      </c>
      <c r="Z47" s="414">
        <f t="shared" si="44"/>
        <v>49390.224103999994</v>
      </c>
      <c r="AA47" s="416">
        <f t="shared" si="45"/>
        <v>2667.0721016159996</v>
      </c>
      <c r="AB47" s="414">
        <f t="shared" si="46"/>
        <v>7143.4082233667186</v>
      </c>
      <c r="AC47" s="414">
        <f t="shared" si="47"/>
        <v>59268.268924799988</v>
      </c>
      <c r="AD47" s="416">
        <f t="shared" si="76"/>
        <v>2667.0721016159996</v>
      </c>
      <c r="AE47" s="414">
        <f t="shared" si="48"/>
        <v>7143.4082233667186</v>
      </c>
      <c r="AF47" s="414">
        <f t="shared" si="49"/>
        <v>69146.313745599982</v>
      </c>
      <c r="AG47" s="416">
        <f t="shared" si="77"/>
        <v>2667.0721016159996</v>
      </c>
      <c r="AH47" s="414">
        <f t="shared" si="50"/>
        <v>7143.4082233667186</v>
      </c>
      <c r="AI47" s="414">
        <f t="shared" si="51"/>
        <v>79024.358566399984</v>
      </c>
      <c r="AJ47" s="416">
        <f t="shared" si="80"/>
        <v>2667.0721016159996</v>
      </c>
      <c r="AK47" s="414">
        <f t="shared" si="52"/>
        <v>7143.4082233667186</v>
      </c>
      <c r="AL47" s="414">
        <f t="shared" si="53"/>
        <v>88902.403387199985</v>
      </c>
      <c r="AM47" s="417">
        <f>(AL47-88000)*0.35+(88000-AI47)*0.27</f>
        <v>2739.2643725919993</v>
      </c>
      <c r="AN47" s="414">
        <f t="shared" si="54"/>
        <v>7071.2159523907194</v>
      </c>
      <c r="AO47" s="414">
        <f t="shared" si="55"/>
        <v>98780.448207999987</v>
      </c>
      <c r="AP47" s="417">
        <f>H47*0.35</f>
        <v>3457.3156872799991</v>
      </c>
      <c r="AQ47" s="414">
        <f t="shared" si="70"/>
        <v>8442.6397887827188</v>
      </c>
      <c r="AR47" s="414">
        <f t="shared" si="57"/>
        <v>108658.49302879997</v>
      </c>
      <c r="AS47" s="417">
        <f>H47*0.35</f>
        <v>3457.3156872799991</v>
      </c>
      <c r="AT47" s="414">
        <f t="shared" si="59"/>
        <v>6353.1646377027191</v>
      </c>
      <c r="AU47" s="414">
        <f t="shared" si="60"/>
        <v>118536.53784959998</v>
      </c>
      <c r="AV47" s="417">
        <f>H47*0.35</f>
        <v>3457.3156872799991</v>
      </c>
      <c r="AW47" s="414">
        <f t="shared" si="62"/>
        <v>6353.1646377027191</v>
      </c>
      <c r="AX47" s="292"/>
    </row>
    <row r="48" spans="1:50" ht="28.5" x14ac:dyDescent="0.45">
      <c r="A48" s="737"/>
      <c r="B48" s="432" t="s">
        <v>225</v>
      </c>
      <c r="C48" s="433">
        <v>270</v>
      </c>
      <c r="D48" s="411">
        <v>4996.0199999999995</v>
      </c>
      <c r="E48" s="411">
        <v>8992.8359999999993</v>
      </c>
      <c r="F48" s="411">
        <f t="shared" si="34"/>
        <v>13988.856</v>
      </c>
      <c r="G48" s="276">
        <v>359</v>
      </c>
      <c r="H48" s="412">
        <f t="shared" si="63"/>
        <v>8102.8589943999978</v>
      </c>
      <c r="I48" s="396">
        <v>0.41</v>
      </c>
      <c r="J48" s="397">
        <v>6000</v>
      </c>
      <c r="K48" s="361">
        <f t="shared" si="12"/>
        <v>6113.5043596876249</v>
      </c>
      <c r="L48" s="361">
        <f t="shared" si="64"/>
        <v>6503.7280422208778</v>
      </c>
      <c r="M48" s="413">
        <f t="shared" si="13"/>
        <v>55.848269363039982</v>
      </c>
      <c r="N48" s="414">
        <f t="shared" si="14"/>
        <v>8102.8589943999978</v>
      </c>
      <c r="O48" s="420">
        <f t="shared" si="78"/>
        <v>1215.4288491599996</v>
      </c>
      <c r="P48" s="414">
        <f t="shared" si="36"/>
        <v>6831.5818758769583</v>
      </c>
      <c r="Q48" s="414">
        <f t="shared" si="15"/>
        <v>16205.717988799996</v>
      </c>
      <c r="R48" s="415">
        <f t="shared" si="79"/>
        <v>1525.7147485999994</v>
      </c>
      <c r="S48" s="414">
        <f t="shared" si="37"/>
        <v>6521.295976436958</v>
      </c>
      <c r="T48" s="414">
        <f t="shared" si="38"/>
        <v>24308.576983199993</v>
      </c>
      <c r="U48" s="415">
        <f>H48*0.2</f>
        <v>1620.5717988799997</v>
      </c>
      <c r="V48" s="414">
        <f t="shared" si="40"/>
        <v>6426.4389261569577</v>
      </c>
      <c r="W48" s="414">
        <f t="shared" si="41"/>
        <v>32411.435977599991</v>
      </c>
      <c r="X48" s="416">
        <f>(W48-25000)*0.27+(25000-T48)*0.2</f>
        <v>2139.3723173119993</v>
      </c>
      <c r="Y48" s="414">
        <f t="shared" si="43"/>
        <v>5907.6384077249586</v>
      </c>
      <c r="Z48" s="414">
        <f t="shared" si="44"/>
        <v>40514.294971999989</v>
      </c>
      <c r="AA48" s="416">
        <f t="shared" si="45"/>
        <v>2187.7719284879995</v>
      </c>
      <c r="AB48" s="414">
        <f t="shared" si="46"/>
        <v>5859.2387965489579</v>
      </c>
      <c r="AC48" s="414">
        <f t="shared" si="47"/>
        <v>48617.153966399987</v>
      </c>
      <c r="AD48" s="416">
        <f t="shared" si="76"/>
        <v>2187.7719284879995</v>
      </c>
      <c r="AE48" s="414">
        <f t="shared" si="48"/>
        <v>5859.2387965489579</v>
      </c>
      <c r="AF48" s="414">
        <f t="shared" si="49"/>
        <v>56720.012960799984</v>
      </c>
      <c r="AG48" s="416">
        <f t="shared" si="77"/>
        <v>2187.7719284879995</v>
      </c>
      <c r="AH48" s="414">
        <f t="shared" si="50"/>
        <v>5859.2387965489579</v>
      </c>
      <c r="AI48" s="414">
        <f t="shared" si="51"/>
        <v>64822.871955199982</v>
      </c>
      <c r="AJ48" s="416">
        <f t="shared" si="80"/>
        <v>2187.7719284879995</v>
      </c>
      <c r="AK48" s="414">
        <f t="shared" si="52"/>
        <v>5859.2387965489579</v>
      </c>
      <c r="AL48" s="414">
        <f t="shared" si="53"/>
        <v>72925.73094959998</v>
      </c>
      <c r="AM48" s="416">
        <f t="shared" ref="AM48:AM54" si="81">H48*0.27</f>
        <v>2187.7719284879995</v>
      </c>
      <c r="AN48" s="414">
        <f t="shared" si="54"/>
        <v>5859.2387965489579</v>
      </c>
      <c r="AO48" s="414">
        <f t="shared" si="55"/>
        <v>81028.589943999978</v>
      </c>
      <c r="AP48" s="416">
        <f>H48*0.27</f>
        <v>2187.7719284879995</v>
      </c>
      <c r="AQ48" s="414">
        <f t="shared" si="70"/>
        <v>6679.1701888369571</v>
      </c>
      <c r="AR48" s="414">
        <f t="shared" si="57"/>
        <v>89131.448938399975</v>
      </c>
      <c r="AS48" s="417">
        <f>(AR48-88000)*0.35+(88000-AO48)*0.27</f>
        <v>2278.2878435599973</v>
      </c>
      <c r="AT48" s="414">
        <f t="shared" si="59"/>
        <v>5768.7228814769605</v>
      </c>
      <c r="AU48" s="414">
        <f t="shared" si="60"/>
        <v>97234.307932799973</v>
      </c>
      <c r="AV48" s="417">
        <f>H48*0.35</f>
        <v>2836.0006480399989</v>
      </c>
      <c r="AW48" s="414">
        <f t="shared" si="62"/>
        <v>5211.0100769969586</v>
      </c>
      <c r="AX48" s="292"/>
    </row>
    <row r="49" spans="1:50" ht="28.5" x14ac:dyDescent="0.45">
      <c r="A49" s="737"/>
      <c r="B49" s="434" t="s">
        <v>226</v>
      </c>
      <c r="C49" s="435">
        <v>180</v>
      </c>
      <c r="D49" s="419">
        <v>4996.0199999999995</v>
      </c>
      <c r="E49" s="419">
        <v>5995.2240000000002</v>
      </c>
      <c r="F49" s="419">
        <f t="shared" si="34"/>
        <v>10991.243999999999</v>
      </c>
      <c r="G49" s="276">
        <v>359</v>
      </c>
      <c r="H49" s="412">
        <f t="shared" si="63"/>
        <v>8131.0365471999994</v>
      </c>
      <c r="I49" s="396">
        <v>0.62</v>
      </c>
      <c r="J49" s="397">
        <v>6100</v>
      </c>
      <c r="K49" s="361">
        <f t="shared" si="12"/>
        <v>6132.2677920971464</v>
      </c>
      <c r="L49" s="361">
        <f t="shared" si="64"/>
        <v>6523.6891405288798</v>
      </c>
      <c r="M49" s="413">
        <f t="shared" si="13"/>
        <v>56.034241211519998</v>
      </c>
      <c r="N49" s="414">
        <f t="shared" si="14"/>
        <v>8131.0365471999994</v>
      </c>
      <c r="O49" s="420">
        <f t="shared" si="78"/>
        <v>1219.65548208</v>
      </c>
      <c r="P49" s="414">
        <f t="shared" si="36"/>
        <v>6855.3468239084796</v>
      </c>
      <c r="Q49" s="414">
        <f t="shared" si="15"/>
        <v>16262.073094399999</v>
      </c>
      <c r="R49" s="415">
        <f t="shared" si="79"/>
        <v>1532.7591367999999</v>
      </c>
      <c r="S49" s="414">
        <f t="shared" si="37"/>
        <v>6542.2431691884794</v>
      </c>
      <c r="T49" s="414">
        <f t="shared" si="38"/>
        <v>24393.1096416</v>
      </c>
      <c r="U49" s="415">
        <f>H49*0.2</f>
        <v>1626.20730944</v>
      </c>
      <c r="V49" s="414">
        <f t="shared" si="40"/>
        <v>6448.7949965484795</v>
      </c>
      <c r="W49" s="414">
        <f t="shared" si="41"/>
        <v>32524.146188799998</v>
      </c>
      <c r="X49" s="416">
        <f>(W49-25000)*0.27+(25000-T49)*0.2</f>
        <v>2152.8975426559996</v>
      </c>
      <c r="Y49" s="414">
        <f t="shared" si="43"/>
        <v>5922.1047633324797</v>
      </c>
      <c r="Z49" s="414">
        <f t="shared" si="44"/>
        <v>40655.182735999995</v>
      </c>
      <c r="AA49" s="416">
        <f t="shared" si="45"/>
        <v>2195.379867744</v>
      </c>
      <c r="AB49" s="414">
        <f t="shared" si="46"/>
        <v>5879.6224382444798</v>
      </c>
      <c r="AC49" s="414">
        <f t="shared" si="47"/>
        <v>48786.2192832</v>
      </c>
      <c r="AD49" s="416">
        <f t="shared" si="76"/>
        <v>2195.379867744</v>
      </c>
      <c r="AE49" s="414">
        <f t="shared" si="48"/>
        <v>5879.6224382444798</v>
      </c>
      <c r="AF49" s="414">
        <f t="shared" si="49"/>
        <v>56917.255830399998</v>
      </c>
      <c r="AG49" s="416">
        <f t="shared" si="77"/>
        <v>2195.379867744</v>
      </c>
      <c r="AH49" s="414">
        <f t="shared" si="50"/>
        <v>5879.6224382444798</v>
      </c>
      <c r="AI49" s="414">
        <f t="shared" si="51"/>
        <v>65048.292377599995</v>
      </c>
      <c r="AJ49" s="416">
        <f t="shared" si="80"/>
        <v>2195.379867744</v>
      </c>
      <c r="AK49" s="414">
        <f t="shared" si="52"/>
        <v>5879.6224382444798</v>
      </c>
      <c r="AL49" s="414">
        <f t="shared" si="53"/>
        <v>73179.328924799993</v>
      </c>
      <c r="AM49" s="416">
        <f t="shared" si="81"/>
        <v>2195.379867744</v>
      </c>
      <c r="AN49" s="414">
        <f t="shared" si="54"/>
        <v>5879.6224382444798</v>
      </c>
      <c r="AO49" s="414">
        <f t="shared" si="55"/>
        <v>81310.36547199999</v>
      </c>
      <c r="AP49" s="416">
        <f>H49*0.27</f>
        <v>2195.379867744</v>
      </c>
      <c r="AQ49" s="414">
        <f t="shared" si="70"/>
        <v>6707.1617697884794</v>
      </c>
      <c r="AR49" s="414">
        <f t="shared" si="57"/>
        <v>89441.402019199988</v>
      </c>
      <c r="AS49" s="417">
        <f>(AR49-88000)*0.35+(88000-AO49)*0.27</f>
        <v>2310.6920292799982</v>
      </c>
      <c r="AT49" s="414">
        <f t="shared" si="59"/>
        <v>5764.310276708482</v>
      </c>
      <c r="AU49" s="414">
        <f t="shared" si="60"/>
        <v>97572.4385664</v>
      </c>
      <c r="AV49" s="417">
        <f>H49*0.35</f>
        <v>2845.8627915199995</v>
      </c>
      <c r="AW49" s="414">
        <f t="shared" si="62"/>
        <v>5229.1395144684802</v>
      </c>
      <c r="AX49" s="292"/>
    </row>
    <row r="50" spans="1:50" ht="28.5" x14ac:dyDescent="0.45">
      <c r="A50" s="737"/>
      <c r="B50" s="434" t="s">
        <v>227</v>
      </c>
      <c r="C50" s="435">
        <v>180</v>
      </c>
      <c r="D50" s="419">
        <v>4996.0199999999995</v>
      </c>
      <c r="E50" s="419">
        <v>5995.2240000000002</v>
      </c>
      <c r="F50" s="419">
        <f t="shared" si="34"/>
        <v>10991.243999999999</v>
      </c>
      <c r="G50" s="276">
        <v>359</v>
      </c>
      <c r="H50" s="412">
        <f t="shared" si="63"/>
        <v>7116.6446464000001</v>
      </c>
      <c r="I50" s="396">
        <v>0.44</v>
      </c>
      <c r="J50" s="397">
        <v>5400</v>
      </c>
      <c r="K50" s="361">
        <f t="shared" si="12"/>
        <v>5439.4491303997593</v>
      </c>
      <c r="L50" s="361">
        <f t="shared" si="64"/>
        <v>5786.6480110635739</v>
      </c>
      <c r="M50" s="413">
        <f t="shared" si="13"/>
        <v>49.339254666240002</v>
      </c>
      <c r="N50" s="414">
        <f t="shared" si="14"/>
        <v>7116.6446464000001</v>
      </c>
      <c r="O50" s="420">
        <f t="shared" si="78"/>
        <v>1067.49669696</v>
      </c>
      <c r="P50" s="414">
        <f t="shared" si="36"/>
        <v>5999.8086947737602</v>
      </c>
      <c r="Q50" s="414">
        <f t="shared" si="15"/>
        <v>14233.2892928</v>
      </c>
      <c r="R50" s="415">
        <f t="shared" si="79"/>
        <v>1279.1611616</v>
      </c>
      <c r="S50" s="414">
        <f t="shared" si="37"/>
        <v>5788.1442301337602</v>
      </c>
      <c r="T50" s="414">
        <f t="shared" si="38"/>
        <v>21349.9339392</v>
      </c>
      <c r="U50" s="415">
        <f>H50*0.2</f>
        <v>1423.32892928</v>
      </c>
      <c r="V50" s="414">
        <f t="shared" si="40"/>
        <v>5643.9764624537602</v>
      </c>
      <c r="W50" s="414">
        <f t="shared" si="41"/>
        <v>28466.5785856</v>
      </c>
      <c r="X50" s="416">
        <f>(W50-25000)*0.27+(25000-T50)*0.2</f>
        <v>1665.9894302719999</v>
      </c>
      <c r="Y50" s="414">
        <f t="shared" si="43"/>
        <v>5401.3159614617598</v>
      </c>
      <c r="Z50" s="414">
        <f t="shared" si="44"/>
        <v>35583.223232000004</v>
      </c>
      <c r="AA50" s="416">
        <f t="shared" si="45"/>
        <v>1921.4940545280001</v>
      </c>
      <c r="AB50" s="414">
        <f t="shared" si="46"/>
        <v>5145.8113372057596</v>
      </c>
      <c r="AC50" s="414">
        <f t="shared" si="47"/>
        <v>42699.8678784</v>
      </c>
      <c r="AD50" s="416">
        <f t="shared" si="76"/>
        <v>1921.4940545280001</v>
      </c>
      <c r="AE50" s="414">
        <f t="shared" si="48"/>
        <v>5145.8113372057596</v>
      </c>
      <c r="AF50" s="414">
        <f t="shared" si="49"/>
        <v>49816.512524799997</v>
      </c>
      <c r="AG50" s="416">
        <f t="shared" si="77"/>
        <v>1921.4940545280001</v>
      </c>
      <c r="AH50" s="414">
        <f t="shared" si="50"/>
        <v>5145.8113372057596</v>
      </c>
      <c r="AI50" s="414">
        <f t="shared" si="51"/>
        <v>56933.1571712</v>
      </c>
      <c r="AJ50" s="416">
        <f t="shared" si="80"/>
        <v>1921.4940545280001</v>
      </c>
      <c r="AK50" s="414">
        <f t="shared" si="52"/>
        <v>5145.8113372057596</v>
      </c>
      <c r="AL50" s="414">
        <f t="shared" si="53"/>
        <v>64049.801817600004</v>
      </c>
      <c r="AM50" s="416">
        <f t="shared" si="81"/>
        <v>1921.4940545280001</v>
      </c>
      <c r="AN50" s="414">
        <f t="shared" si="54"/>
        <v>5145.8113372057596</v>
      </c>
      <c r="AO50" s="414">
        <f t="shared" si="55"/>
        <v>71166.446464000008</v>
      </c>
      <c r="AP50" s="416">
        <f>H50*0.27</f>
        <v>1921.4940545280001</v>
      </c>
      <c r="AQ50" s="414">
        <f t="shared" si="70"/>
        <v>5699.4648555337608</v>
      </c>
      <c r="AR50" s="414">
        <f t="shared" si="57"/>
        <v>78283.091110399997</v>
      </c>
      <c r="AS50" s="416">
        <f>H50*0.27</f>
        <v>1921.4940545280001</v>
      </c>
      <c r="AT50" s="414">
        <f t="shared" si="59"/>
        <v>5145.8113372057596</v>
      </c>
      <c r="AU50" s="414">
        <f t="shared" si="60"/>
        <v>85399.735756800001</v>
      </c>
      <c r="AV50" s="416">
        <f t="shared" ref="AV50:AV54" si="82">H50*0.27</f>
        <v>1921.4940545280001</v>
      </c>
      <c r="AW50" s="414">
        <f t="shared" si="62"/>
        <v>5145.8113372057596</v>
      </c>
      <c r="AX50" s="292"/>
    </row>
    <row r="51" spans="1:50" ht="28.5" x14ac:dyDescent="0.45">
      <c r="A51" s="737"/>
      <c r="B51" s="436" t="s">
        <v>228</v>
      </c>
      <c r="C51" s="435">
        <v>180</v>
      </c>
      <c r="D51" s="419">
        <v>4996.0199999999995</v>
      </c>
      <c r="E51" s="419">
        <v>5995.2240000000002</v>
      </c>
      <c r="F51" s="419">
        <f t="shared" si="34"/>
        <v>10991.243999999999</v>
      </c>
      <c r="G51" s="276">
        <v>359</v>
      </c>
      <c r="H51" s="412">
        <f t="shared" si="63"/>
        <v>5200.5710559999998</v>
      </c>
      <c r="I51" s="399">
        <v>0.1</v>
      </c>
      <c r="J51" s="397">
        <v>3900</v>
      </c>
      <c r="K51" s="361">
        <f t="shared" si="12"/>
        <v>4010.2498393203991</v>
      </c>
      <c r="L51" s="361">
        <f t="shared" si="64"/>
        <v>4266.2232333195734</v>
      </c>
      <c r="M51" s="413">
        <f t="shared" si="13"/>
        <v>36.693168969599995</v>
      </c>
      <c r="N51" s="414">
        <f t="shared" si="14"/>
        <v>5200.5710559999998</v>
      </c>
      <c r="O51" s="420">
        <f t="shared" si="78"/>
        <v>780.08565839999994</v>
      </c>
      <c r="P51" s="414">
        <f t="shared" si="36"/>
        <v>4383.7922286303992</v>
      </c>
      <c r="Q51" s="414">
        <f t="shared" si="15"/>
        <v>10401.142112</v>
      </c>
      <c r="R51" s="415">
        <f t="shared" si="79"/>
        <v>800.14276399999994</v>
      </c>
      <c r="S51" s="414">
        <f t="shared" si="37"/>
        <v>4363.7351230303993</v>
      </c>
      <c r="T51" s="414">
        <f t="shared" si="38"/>
        <v>15601.713167999998</v>
      </c>
      <c r="U51" s="415">
        <f>H51*0.2</f>
        <v>1040.1142112</v>
      </c>
      <c r="V51" s="414">
        <f t="shared" si="40"/>
        <v>4123.7636758303997</v>
      </c>
      <c r="W51" s="414">
        <f t="shared" si="41"/>
        <v>20802.284223999999</v>
      </c>
      <c r="X51" s="415">
        <f>H51*0.2</f>
        <v>1040.1142112</v>
      </c>
      <c r="Y51" s="414">
        <f t="shared" si="43"/>
        <v>4123.7636758303997</v>
      </c>
      <c r="Z51" s="414">
        <f t="shared" si="44"/>
        <v>26002.85528</v>
      </c>
      <c r="AA51" s="416">
        <f>(Z51-25000)*0.27+(25000-W51)*0.2</f>
        <v>1110.3140808000003</v>
      </c>
      <c r="AB51" s="414">
        <f t="shared" si="46"/>
        <v>4053.5638062303992</v>
      </c>
      <c r="AC51" s="414">
        <f t="shared" si="47"/>
        <v>31203.426335999997</v>
      </c>
      <c r="AD51" s="416">
        <f t="shared" si="76"/>
        <v>1404.15418512</v>
      </c>
      <c r="AE51" s="414">
        <f t="shared" si="48"/>
        <v>3759.7237019103995</v>
      </c>
      <c r="AF51" s="414">
        <f t="shared" si="49"/>
        <v>36403.997391999997</v>
      </c>
      <c r="AG51" s="416">
        <f t="shared" si="77"/>
        <v>1404.15418512</v>
      </c>
      <c r="AH51" s="414">
        <f t="shared" si="50"/>
        <v>3759.7237019103995</v>
      </c>
      <c r="AI51" s="414">
        <f t="shared" si="51"/>
        <v>41604.568447999998</v>
      </c>
      <c r="AJ51" s="416">
        <f t="shared" si="80"/>
        <v>1404.15418512</v>
      </c>
      <c r="AK51" s="414">
        <f t="shared" si="52"/>
        <v>3759.7237019103995</v>
      </c>
      <c r="AL51" s="414">
        <f t="shared" si="53"/>
        <v>46805.139503999999</v>
      </c>
      <c r="AM51" s="416">
        <f t="shared" si="81"/>
        <v>1404.15418512</v>
      </c>
      <c r="AN51" s="414">
        <f t="shared" si="54"/>
        <v>3759.7237019103995</v>
      </c>
      <c r="AO51" s="414">
        <f t="shared" si="55"/>
        <v>52005.71056</v>
      </c>
      <c r="AP51" s="416">
        <f>H51*0.27</f>
        <v>1404.15418512</v>
      </c>
      <c r="AQ51" s="414">
        <f t="shared" si="70"/>
        <v>3796.0373508303996</v>
      </c>
      <c r="AR51" s="414">
        <f t="shared" si="57"/>
        <v>57206.281616</v>
      </c>
      <c r="AS51" s="416">
        <f>H51*0.27</f>
        <v>1404.15418512</v>
      </c>
      <c r="AT51" s="414">
        <f t="shared" si="59"/>
        <v>3759.7237019103995</v>
      </c>
      <c r="AU51" s="414">
        <f t="shared" si="60"/>
        <v>62406.852671999994</v>
      </c>
      <c r="AV51" s="416">
        <f t="shared" si="82"/>
        <v>1404.15418512</v>
      </c>
      <c r="AW51" s="414">
        <f t="shared" si="62"/>
        <v>3759.7237019103995</v>
      </c>
      <c r="AX51" s="292"/>
    </row>
    <row r="52" spans="1:50" ht="42" x14ac:dyDescent="0.45">
      <c r="A52" s="737"/>
      <c r="B52" s="424" t="s">
        <v>199</v>
      </c>
      <c r="C52" s="433">
        <v>125</v>
      </c>
      <c r="D52" s="411">
        <v>3331</v>
      </c>
      <c r="E52" s="411">
        <v>4163</v>
      </c>
      <c r="F52" s="411">
        <f t="shared" si="34"/>
        <v>7494</v>
      </c>
      <c r="G52" s="276">
        <v>359</v>
      </c>
      <c r="H52" s="412">
        <f t="shared" si="63"/>
        <v>4928.6099999999997</v>
      </c>
      <c r="I52" s="398">
        <v>0.5</v>
      </c>
      <c r="J52" s="397">
        <v>3800</v>
      </c>
      <c r="K52" s="361">
        <f t="shared" si="12"/>
        <v>3807.3940876499987</v>
      </c>
      <c r="L52" s="361">
        <f t="shared" si="64"/>
        <v>4050.4192421808498</v>
      </c>
      <c r="M52" s="413">
        <f t="shared" si="13"/>
        <v>34.898226000000001</v>
      </c>
      <c r="N52" s="414">
        <f t="shared" si="14"/>
        <v>4928.6099999999997</v>
      </c>
      <c r="O52" s="420">
        <f t="shared" si="78"/>
        <v>739.29149999999993</v>
      </c>
      <c r="P52" s="414">
        <f t="shared" si="36"/>
        <v>4154.4202739999992</v>
      </c>
      <c r="Q52" s="414">
        <f t="shared" si="15"/>
        <v>9857.2199999999993</v>
      </c>
      <c r="R52" s="420">
        <f>H52*0.15</f>
        <v>739.29149999999993</v>
      </c>
      <c r="S52" s="414">
        <f t="shared" si="37"/>
        <v>4154.4202739999992</v>
      </c>
      <c r="T52" s="414">
        <f t="shared" si="38"/>
        <v>14785.829999999998</v>
      </c>
      <c r="U52" s="415">
        <f>(T52-10000)*0.2+(10000-Q52)*0.15</f>
        <v>978.58299999999986</v>
      </c>
      <c r="V52" s="414">
        <f t="shared" si="40"/>
        <v>3915.1287739999998</v>
      </c>
      <c r="W52" s="414">
        <f t="shared" si="41"/>
        <v>19714.439999999999</v>
      </c>
      <c r="X52" s="415">
        <f>H52*0.2</f>
        <v>985.72199999999998</v>
      </c>
      <c r="Y52" s="414">
        <f t="shared" si="43"/>
        <v>3907.9897739999997</v>
      </c>
      <c r="Z52" s="414">
        <f t="shared" si="44"/>
        <v>24643.05</v>
      </c>
      <c r="AA52" s="415">
        <f>H52*0.2</f>
        <v>985.72199999999998</v>
      </c>
      <c r="AB52" s="414">
        <f t="shared" si="46"/>
        <v>3907.9897739999997</v>
      </c>
      <c r="AC52" s="414">
        <f t="shared" si="47"/>
        <v>29571.659999999996</v>
      </c>
      <c r="AD52" s="416">
        <f>(AC52-25000)*0.27+(25000-Z52)*0.2</f>
        <v>1305.7381999999991</v>
      </c>
      <c r="AE52" s="414">
        <f t="shared" si="48"/>
        <v>3587.9735740000006</v>
      </c>
      <c r="AF52" s="414">
        <f t="shared" si="49"/>
        <v>34500.269999999997</v>
      </c>
      <c r="AG52" s="416">
        <f t="shared" si="77"/>
        <v>1330.7247</v>
      </c>
      <c r="AH52" s="414">
        <f t="shared" si="50"/>
        <v>3562.9870739999997</v>
      </c>
      <c r="AI52" s="414">
        <f t="shared" si="51"/>
        <v>39428.879999999997</v>
      </c>
      <c r="AJ52" s="416">
        <f t="shared" si="80"/>
        <v>1330.7247</v>
      </c>
      <c r="AK52" s="414">
        <f t="shared" si="52"/>
        <v>3562.9870739999997</v>
      </c>
      <c r="AL52" s="414">
        <f t="shared" si="53"/>
        <v>44357.49</v>
      </c>
      <c r="AM52" s="416">
        <f t="shared" si="81"/>
        <v>1330.7247</v>
      </c>
      <c r="AN52" s="414">
        <f t="shared" si="54"/>
        <v>3562.9870739999997</v>
      </c>
      <c r="AO52" s="414">
        <f t="shared" si="55"/>
        <v>49286.1</v>
      </c>
      <c r="AP52" s="416">
        <f>H52*0.27</f>
        <v>1330.7247</v>
      </c>
      <c r="AQ52" s="414">
        <f t="shared" si="70"/>
        <v>3525.8712377999996</v>
      </c>
      <c r="AR52" s="414">
        <f t="shared" si="57"/>
        <v>54214.71</v>
      </c>
      <c r="AS52" s="416">
        <f>H52*0.27</f>
        <v>1330.7247</v>
      </c>
      <c r="AT52" s="414">
        <f t="shared" si="59"/>
        <v>3562.9870739999997</v>
      </c>
      <c r="AU52" s="414">
        <f t="shared" si="60"/>
        <v>59143.319999999992</v>
      </c>
      <c r="AV52" s="416">
        <f t="shared" si="82"/>
        <v>1330.7247</v>
      </c>
      <c r="AW52" s="414">
        <f t="shared" si="62"/>
        <v>3562.9870739999997</v>
      </c>
      <c r="AX52" s="292"/>
    </row>
    <row r="53" spans="1:50" ht="26.25" customHeight="1" x14ac:dyDescent="0.45">
      <c r="A53" s="738" t="s">
        <v>173</v>
      </c>
      <c r="B53" s="738"/>
      <c r="C53" s="437">
        <v>125</v>
      </c>
      <c r="D53" s="419">
        <v>3330.68</v>
      </c>
      <c r="E53" s="419">
        <v>4163.3499999999995</v>
      </c>
      <c r="F53" s="419">
        <f t="shared" si="34"/>
        <v>7494.0299999999988</v>
      </c>
      <c r="G53" s="276">
        <v>278</v>
      </c>
      <c r="H53" s="412">
        <f t="shared" si="63"/>
        <v>3796.2543099999998</v>
      </c>
      <c r="I53" s="398">
        <v>0.19</v>
      </c>
      <c r="J53" s="397">
        <v>3023</v>
      </c>
      <c r="K53" s="361">
        <f t="shared" si="12"/>
        <v>2963.3045784789997</v>
      </c>
      <c r="L53" s="361">
        <f t="shared" si="64"/>
        <v>3152.4516792329787</v>
      </c>
      <c r="M53" s="413">
        <f t="shared" si="13"/>
        <v>26.890078445999997</v>
      </c>
      <c r="N53" s="414">
        <f t="shared" si="14"/>
        <v>3796.2543099999998</v>
      </c>
      <c r="O53" s="420">
        <f t="shared" si="78"/>
        <v>569.4381464999999</v>
      </c>
      <c r="P53" s="414">
        <f t="shared" si="36"/>
        <v>3199.9260850539995</v>
      </c>
      <c r="Q53" s="414">
        <f t="shared" si="15"/>
        <v>7592.5086199999996</v>
      </c>
      <c r="R53" s="420">
        <f>H53*0.15</f>
        <v>569.4381464999999</v>
      </c>
      <c r="S53" s="414">
        <f t="shared" si="37"/>
        <v>3199.9260850539995</v>
      </c>
      <c r="T53" s="414">
        <f t="shared" si="38"/>
        <v>11388.762929999999</v>
      </c>
      <c r="U53" s="415">
        <f>(T53-10000)*0.2+(10000-Q53)*0.15</f>
        <v>638.87629299999981</v>
      </c>
      <c r="V53" s="414">
        <f t="shared" si="40"/>
        <v>3130.4879385539998</v>
      </c>
      <c r="W53" s="414">
        <f t="shared" si="41"/>
        <v>15185.017239999999</v>
      </c>
      <c r="X53" s="415">
        <f t="shared" ref="X53:X54" si="83">H53*0.2</f>
        <v>759.25086199999998</v>
      </c>
      <c r="Y53" s="414">
        <f t="shared" si="43"/>
        <v>3010.1133695539997</v>
      </c>
      <c r="Z53" s="414">
        <f t="shared" si="44"/>
        <v>18981.271549999998</v>
      </c>
      <c r="AA53" s="415">
        <f>H53*0.2</f>
        <v>759.25086199999998</v>
      </c>
      <c r="AB53" s="414">
        <f t="shared" si="46"/>
        <v>3010.1133695539997</v>
      </c>
      <c r="AC53" s="414">
        <f t="shared" si="47"/>
        <v>22777.525859999998</v>
      </c>
      <c r="AD53" s="415">
        <f>H53*0.2</f>
        <v>759.25086199999998</v>
      </c>
      <c r="AE53" s="414">
        <f t="shared" si="48"/>
        <v>3010.1133695539997</v>
      </c>
      <c r="AF53" s="414">
        <f t="shared" si="49"/>
        <v>26573.780169999998</v>
      </c>
      <c r="AG53" s="416">
        <f>(AF53-25000)*0.27+(25000-AC53)*0.2</f>
        <v>869.41547390000005</v>
      </c>
      <c r="AH53" s="414">
        <f t="shared" si="50"/>
        <v>2899.9487576539996</v>
      </c>
      <c r="AI53" s="414">
        <f t="shared" si="51"/>
        <v>30370.034479999998</v>
      </c>
      <c r="AJ53" s="416">
        <f t="shared" si="80"/>
        <v>1024.9886637</v>
      </c>
      <c r="AK53" s="414">
        <f t="shared" si="52"/>
        <v>2744.3755678539997</v>
      </c>
      <c r="AL53" s="414">
        <f t="shared" si="53"/>
        <v>34166.288789999999</v>
      </c>
      <c r="AM53" s="416">
        <f t="shared" si="81"/>
        <v>1024.9886637</v>
      </c>
      <c r="AN53" s="414">
        <f t="shared" si="54"/>
        <v>2744.3755678539997</v>
      </c>
      <c r="AO53" s="414">
        <f t="shared" si="55"/>
        <v>37962.543099999995</v>
      </c>
      <c r="AP53" s="416">
        <f t="shared" ref="AP53:AP54" si="84">H53*0.27</f>
        <v>1024.9886637</v>
      </c>
      <c r="AQ53" s="414">
        <f t="shared" si="70"/>
        <v>2401.5236953539998</v>
      </c>
      <c r="AR53" s="414">
        <f t="shared" si="57"/>
        <v>41758.797409999999</v>
      </c>
      <c r="AS53" s="416">
        <f t="shared" ref="AS53:AS54" si="85">H53*0.27</f>
        <v>1024.9886637</v>
      </c>
      <c r="AT53" s="414">
        <f t="shared" si="59"/>
        <v>2744.3755678539997</v>
      </c>
      <c r="AU53" s="414">
        <f t="shared" si="60"/>
        <v>45555.051719999996</v>
      </c>
      <c r="AV53" s="416">
        <f t="shared" si="82"/>
        <v>1024.9886637</v>
      </c>
      <c r="AW53" s="414">
        <f t="shared" si="62"/>
        <v>2744.3755678539997</v>
      </c>
      <c r="AX53" s="292"/>
    </row>
    <row r="54" spans="1:50" ht="28.5" x14ac:dyDescent="0.45">
      <c r="A54" s="739" t="s">
        <v>174</v>
      </c>
      <c r="B54" s="739"/>
      <c r="C54" s="433">
        <v>75</v>
      </c>
      <c r="D54" s="411">
        <v>2498.0099999999998</v>
      </c>
      <c r="E54" s="411">
        <v>2498</v>
      </c>
      <c r="F54" s="411">
        <f t="shared" si="34"/>
        <v>4996.01</v>
      </c>
      <c r="G54" s="276">
        <v>278</v>
      </c>
      <c r="H54" s="412">
        <f t="shared" si="63"/>
        <v>3699.3255999999997</v>
      </c>
      <c r="I54" s="396">
        <v>0.63</v>
      </c>
      <c r="J54" s="397">
        <v>2822</v>
      </c>
      <c r="K54" s="361">
        <f t="shared" si="12"/>
        <v>2891.0054536900002</v>
      </c>
      <c r="L54" s="361">
        <f t="shared" si="64"/>
        <v>3075.5377166914895</v>
      </c>
      <c r="M54" s="413">
        <f t="shared" si="13"/>
        <v>26.250348959999997</v>
      </c>
      <c r="N54" s="414">
        <f t="shared" si="14"/>
        <v>3699.3255999999997</v>
      </c>
      <c r="O54" s="420">
        <f t="shared" si="78"/>
        <v>554.89883999999995</v>
      </c>
      <c r="P54" s="414">
        <f t="shared" si="36"/>
        <v>3118.1764110399999</v>
      </c>
      <c r="Q54" s="414">
        <f t="shared" si="15"/>
        <v>7398.6511999999993</v>
      </c>
      <c r="R54" s="420">
        <f>H54*0.15</f>
        <v>554.89883999999995</v>
      </c>
      <c r="S54" s="414">
        <f t="shared" si="37"/>
        <v>3118.1764110399999</v>
      </c>
      <c r="T54" s="414">
        <f t="shared" si="38"/>
        <v>11097.976799999999</v>
      </c>
      <c r="U54" s="415">
        <f>(T54-10000)*0.2+(10000-Q54)*0.15</f>
        <v>609.79767999999979</v>
      </c>
      <c r="V54" s="414">
        <f t="shared" si="40"/>
        <v>3063.2775710400001</v>
      </c>
      <c r="W54" s="414">
        <f t="shared" si="41"/>
        <v>14797.302399999999</v>
      </c>
      <c r="X54" s="415">
        <f t="shared" si="83"/>
        <v>739.86511999999993</v>
      </c>
      <c r="Y54" s="414">
        <f t="shared" si="43"/>
        <v>2933.2101310399999</v>
      </c>
      <c r="Z54" s="414">
        <f t="shared" si="44"/>
        <v>18496.627999999997</v>
      </c>
      <c r="AA54" s="415">
        <f>H54*0.2</f>
        <v>739.86511999999993</v>
      </c>
      <c r="AB54" s="414">
        <f t="shared" si="46"/>
        <v>2933.2101310399999</v>
      </c>
      <c r="AC54" s="414">
        <f t="shared" si="47"/>
        <v>22195.953599999997</v>
      </c>
      <c r="AD54" s="415">
        <f>H54*0.2</f>
        <v>739.86511999999993</v>
      </c>
      <c r="AE54" s="414">
        <f t="shared" si="48"/>
        <v>2933.2101310399999</v>
      </c>
      <c r="AF54" s="414">
        <f t="shared" si="49"/>
        <v>25895.279199999997</v>
      </c>
      <c r="AG54" s="416">
        <f>(AF54-25000)*0.27+(25000-AC54)*0.2</f>
        <v>802.53466399999991</v>
      </c>
      <c r="AH54" s="414">
        <f t="shared" si="50"/>
        <v>2870.54058704</v>
      </c>
      <c r="AI54" s="414">
        <f t="shared" si="51"/>
        <v>29594.604799999997</v>
      </c>
      <c r="AJ54" s="416">
        <f t="shared" si="80"/>
        <v>998.81791199999998</v>
      </c>
      <c r="AK54" s="414">
        <f t="shared" si="52"/>
        <v>2674.2573390399998</v>
      </c>
      <c r="AL54" s="414">
        <f t="shared" si="53"/>
        <v>33293.930399999997</v>
      </c>
      <c r="AM54" s="416">
        <f t="shared" si="81"/>
        <v>998.81791199999998</v>
      </c>
      <c r="AN54" s="414">
        <f t="shared" si="54"/>
        <v>2674.2573390399998</v>
      </c>
      <c r="AO54" s="414">
        <f t="shared" si="55"/>
        <v>36993.255999999994</v>
      </c>
      <c r="AP54" s="416">
        <f t="shared" si="84"/>
        <v>998.81791199999998</v>
      </c>
      <c r="AQ54" s="414">
        <f t="shared" si="70"/>
        <v>2305.2347148399999</v>
      </c>
      <c r="AR54" s="414">
        <f t="shared" si="57"/>
        <v>40692.581599999998</v>
      </c>
      <c r="AS54" s="416">
        <f t="shared" si="85"/>
        <v>998.81791199999998</v>
      </c>
      <c r="AT54" s="414">
        <f t="shared" si="59"/>
        <v>2674.2573390399998</v>
      </c>
      <c r="AU54" s="414">
        <f t="shared" si="60"/>
        <v>44391.907199999994</v>
      </c>
      <c r="AV54" s="416">
        <f t="shared" si="82"/>
        <v>998.81791199999998</v>
      </c>
      <c r="AW54" s="414">
        <f t="shared" si="62"/>
        <v>2674.2573390399998</v>
      </c>
      <c r="AX54" s="292"/>
    </row>
    <row r="55" spans="1:50" x14ac:dyDescent="0.35">
      <c r="AM55" s="379"/>
    </row>
  </sheetData>
  <mergeCells count="11">
    <mergeCell ref="A28:B28"/>
    <mergeCell ref="A1:F1"/>
    <mergeCell ref="A4:B4"/>
    <mergeCell ref="A6:A14"/>
    <mergeCell ref="A15:A23"/>
    <mergeCell ref="A24:A27"/>
    <mergeCell ref="A30:A38"/>
    <mergeCell ref="A39:A46"/>
    <mergeCell ref="A47:A52"/>
    <mergeCell ref="A53:B53"/>
    <mergeCell ref="A54:B54"/>
  </mergeCells>
  <pageMargins left="0.7" right="0.7" top="0.75" bottom="0.75" header="0.3" footer="0.3"/>
  <pageSetup paperSize="9" orientation="portrait" r:id="rId1"/>
  <colBreaks count="1" manualBreakCount="1">
    <brk id="2" max="5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="80" zoomScaleNormal="80" workbookViewId="0">
      <selection activeCell="B13" sqref="B13"/>
    </sheetView>
  </sheetViews>
  <sheetFormatPr defaultRowHeight="15" x14ac:dyDescent="0.25"/>
  <cols>
    <col min="1" max="1" width="23.140625" customWidth="1"/>
    <col min="2" max="2" width="85.42578125" customWidth="1"/>
    <col min="3" max="6" width="16.5703125" customWidth="1"/>
    <col min="7" max="7" width="16.5703125" style="443" customWidth="1"/>
    <col min="8" max="8" width="21.5703125" customWidth="1"/>
    <col min="9" max="9" width="21.85546875" customWidth="1"/>
    <col min="10" max="11" width="16.5703125" customWidth="1"/>
  </cols>
  <sheetData>
    <row r="1" spans="1:11" ht="101.25" customHeight="1" x14ac:dyDescent="0.25">
      <c r="A1" s="749" t="s">
        <v>2</v>
      </c>
      <c r="B1" s="749"/>
      <c r="C1" s="438" t="s">
        <v>3</v>
      </c>
      <c r="D1" s="438" t="s">
        <v>229</v>
      </c>
      <c r="E1" s="438" t="s">
        <v>253</v>
      </c>
      <c r="F1" s="438" t="s">
        <v>231</v>
      </c>
      <c r="G1" s="438" t="s">
        <v>37</v>
      </c>
      <c r="H1" s="439" t="s">
        <v>206</v>
      </c>
      <c r="I1" s="439" t="s">
        <v>280</v>
      </c>
      <c r="J1" s="438" t="s">
        <v>284</v>
      </c>
      <c r="K1" s="438" t="s">
        <v>285</v>
      </c>
    </row>
    <row r="2" spans="1:11" ht="46.5" customHeight="1" x14ac:dyDescent="0.25">
      <c r="A2" s="750" t="s">
        <v>11</v>
      </c>
      <c r="B2" s="418" t="s">
        <v>212</v>
      </c>
      <c r="C2" s="406">
        <v>550</v>
      </c>
      <c r="D2" s="419">
        <v>6661</v>
      </c>
      <c r="E2" s="419">
        <v>18318.739999999998</v>
      </c>
      <c r="F2" s="419">
        <v>24979.739999999998</v>
      </c>
      <c r="G2" s="448">
        <v>0.72</v>
      </c>
      <c r="H2" s="453">
        <v>12600</v>
      </c>
      <c r="I2" s="452">
        <v>12778.595357460268</v>
      </c>
      <c r="J2" s="453">
        <v>15229.662936393599</v>
      </c>
      <c r="K2" s="453">
        <v>11944.4286907936</v>
      </c>
    </row>
    <row r="3" spans="1:11" ht="46.5" customHeight="1" x14ac:dyDescent="0.25">
      <c r="A3" s="750"/>
      <c r="B3" s="409" t="s">
        <v>211</v>
      </c>
      <c r="C3" s="410">
        <v>550</v>
      </c>
      <c r="D3" s="411">
        <v>6661</v>
      </c>
      <c r="E3" s="411">
        <v>18318.739999999998</v>
      </c>
      <c r="F3" s="411">
        <v>24979.739999999998</v>
      </c>
      <c r="G3" s="449">
        <v>0.33</v>
      </c>
      <c r="H3" s="454">
        <v>8500</v>
      </c>
      <c r="I3" s="452">
        <v>8503.712574947067</v>
      </c>
      <c r="J3" s="454">
        <v>9958.1491041804002</v>
      </c>
      <c r="K3" s="454">
        <v>7669.5459082804</v>
      </c>
    </row>
    <row r="4" spans="1:11" ht="46.5" customHeight="1" x14ac:dyDescent="0.25">
      <c r="A4" s="750"/>
      <c r="B4" s="418" t="s">
        <v>213</v>
      </c>
      <c r="C4" s="406">
        <v>550</v>
      </c>
      <c r="D4" s="419">
        <v>6661</v>
      </c>
      <c r="E4" s="419">
        <v>18318.739999999998</v>
      </c>
      <c r="F4" s="419">
        <v>24979.739999999998</v>
      </c>
      <c r="G4" s="448">
        <v>0.2</v>
      </c>
      <c r="H4" s="453">
        <v>7066</v>
      </c>
      <c r="I4" s="452">
        <v>7078.7516474426657</v>
      </c>
      <c r="J4" s="453">
        <v>8186.4421087760011</v>
      </c>
      <c r="K4" s="453">
        <v>6244.5849807760005</v>
      </c>
    </row>
    <row r="5" spans="1:11" ht="46.5" customHeight="1" x14ac:dyDescent="0.25">
      <c r="A5" s="750"/>
      <c r="B5" s="409" t="s">
        <v>32</v>
      </c>
      <c r="C5" s="410">
        <v>400</v>
      </c>
      <c r="D5" s="411">
        <v>6661</v>
      </c>
      <c r="E5" s="411">
        <v>13322.72</v>
      </c>
      <c r="F5" s="411">
        <v>19983.72</v>
      </c>
      <c r="G5" s="449">
        <v>0.63</v>
      </c>
      <c r="H5" s="454">
        <v>9900</v>
      </c>
      <c r="I5" s="452">
        <v>9908.743978989869</v>
      </c>
      <c r="J5" s="454">
        <v>11690.7445595232</v>
      </c>
      <c r="K5" s="454">
        <v>9074.5773123231993</v>
      </c>
    </row>
    <row r="6" spans="1:11" ht="46.5" customHeight="1" x14ac:dyDescent="0.25">
      <c r="A6" s="750"/>
      <c r="B6" s="418" t="s">
        <v>233</v>
      </c>
      <c r="C6" s="406">
        <v>400</v>
      </c>
      <c r="D6" s="419">
        <v>6661</v>
      </c>
      <c r="E6" s="419">
        <v>13322.72</v>
      </c>
      <c r="F6" s="419">
        <v>19983.72</v>
      </c>
      <c r="G6" s="448">
        <v>0.51</v>
      </c>
      <c r="H6" s="453">
        <v>8900</v>
      </c>
      <c r="I6" s="452">
        <v>8952.1268528330656</v>
      </c>
      <c r="J6" s="453">
        <v>10511.105100566399</v>
      </c>
      <c r="K6" s="453">
        <v>8117.9601861664005</v>
      </c>
    </row>
    <row r="7" spans="1:11" ht="46.5" customHeight="1" x14ac:dyDescent="0.25">
      <c r="A7" s="750"/>
      <c r="B7" s="409" t="s">
        <v>234</v>
      </c>
      <c r="C7" s="410">
        <v>300</v>
      </c>
      <c r="D7" s="411">
        <v>6661</v>
      </c>
      <c r="E7" s="411">
        <v>9992.0399999999991</v>
      </c>
      <c r="F7" s="411">
        <v>16653.04</v>
      </c>
      <c r="G7" s="449">
        <v>0.43</v>
      </c>
      <c r="H7" s="454">
        <v>7400</v>
      </c>
      <c r="I7" s="452">
        <v>7457.4125932130655</v>
      </c>
      <c r="J7" s="454">
        <v>8667.9184459463995</v>
      </c>
      <c r="K7" s="454">
        <v>6623.2459265463995</v>
      </c>
    </row>
    <row r="8" spans="1:11" ht="46.5" customHeight="1" x14ac:dyDescent="0.25">
      <c r="A8" s="750"/>
      <c r="B8" s="418" t="s">
        <v>236</v>
      </c>
      <c r="C8" s="406">
        <v>300</v>
      </c>
      <c r="D8" s="419">
        <v>6661</v>
      </c>
      <c r="E8" s="419">
        <v>9992.0399999999991</v>
      </c>
      <c r="F8" s="419">
        <v>16653.04</v>
      </c>
      <c r="G8" s="448">
        <v>0.4</v>
      </c>
      <c r="H8" s="453">
        <v>7200</v>
      </c>
      <c r="I8" s="452">
        <v>7278.0468820586657</v>
      </c>
      <c r="J8" s="453">
        <v>8446.7360473919998</v>
      </c>
      <c r="K8" s="453">
        <v>6443.8802153919996</v>
      </c>
    </row>
    <row r="9" spans="1:11" ht="46.5" customHeight="1" x14ac:dyDescent="0.25">
      <c r="A9" s="750"/>
      <c r="B9" s="409" t="s">
        <v>235</v>
      </c>
      <c r="C9" s="410">
        <v>300</v>
      </c>
      <c r="D9" s="411">
        <v>6661</v>
      </c>
      <c r="E9" s="411">
        <v>9992.0399999999991</v>
      </c>
      <c r="F9" s="411">
        <v>16653.04</v>
      </c>
      <c r="G9" s="449">
        <v>0.33</v>
      </c>
      <c r="H9" s="454">
        <v>6800</v>
      </c>
      <c r="I9" s="452">
        <v>6859.5268893650682</v>
      </c>
      <c r="J9" s="454">
        <v>7899.0716378984016</v>
      </c>
      <c r="K9" s="454">
        <v>6025.3602226984012</v>
      </c>
    </row>
    <row r="10" spans="1:11" ht="46.5" customHeight="1" x14ac:dyDescent="0.25">
      <c r="A10" s="750"/>
      <c r="B10" s="418" t="s">
        <v>216</v>
      </c>
      <c r="C10" s="406">
        <v>300</v>
      </c>
      <c r="D10" s="419">
        <v>6661</v>
      </c>
      <c r="E10" s="419">
        <v>9992.0399999999991</v>
      </c>
      <c r="F10" s="419">
        <v>16653.04</v>
      </c>
      <c r="G10" s="448">
        <v>0.27</v>
      </c>
      <c r="H10" s="453">
        <v>6200</v>
      </c>
      <c r="I10" s="452">
        <v>6500.7954670562658</v>
      </c>
      <c r="J10" s="453">
        <v>7428.8290491895987</v>
      </c>
      <c r="K10" s="453">
        <v>5666.6288003895988</v>
      </c>
    </row>
    <row r="11" spans="1:11" ht="46.5" customHeight="1" x14ac:dyDescent="0.25">
      <c r="A11" s="750" t="s">
        <v>15</v>
      </c>
      <c r="B11" s="409" t="s">
        <v>215</v>
      </c>
      <c r="C11" s="410">
        <v>600</v>
      </c>
      <c r="D11" s="411">
        <v>4996.0199999999995</v>
      </c>
      <c r="E11" s="411">
        <v>19984.079999999998</v>
      </c>
      <c r="F11" s="411">
        <v>24980.1</v>
      </c>
      <c r="G11" s="449">
        <v>0.68</v>
      </c>
      <c r="H11" s="454">
        <v>11900</v>
      </c>
      <c r="I11" s="452">
        <v>11946.501506999464</v>
      </c>
      <c r="J11" s="454">
        <v>14203.577669132799</v>
      </c>
      <c r="K11" s="454">
        <v>11112.334840332798</v>
      </c>
    </row>
    <row r="12" spans="1:11" ht="46.5" customHeight="1" x14ac:dyDescent="0.25">
      <c r="A12" s="750"/>
      <c r="B12" s="418" t="s">
        <v>214</v>
      </c>
      <c r="C12" s="406">
        <v>600</v>
      </c>
      <c r="D12" s="419">
        <v>4996.0199999999995</v>
      </c>
      <c r="E12" s="419">
        <v>19984.079999999998</v>
      </c>
      <c r="F12" s="419">
        <v>24980.1</v>
      </c>
      <c r="G12" s="448">
        <v>0.35</v>
      </c>
      <c r="H12" s="453">
        <v>8000</v>
      </c>
      <c r="I12" s="452">
        <v>8000.4558616026688</v>
      </c>
      <c r="J12" s="453">
        <v>9337.5649009359986</v>
      </c>
      <c r="K12" s="453">
        <v>7166.2891949360001</v>
      </c>
    </row>
    <row r="13" spans="1:11" ht="46.5" customHeight="1" x14ac:dyDescent="0.25">
      <c r="A13" s="750"/>
      <c r="B13" s="409" t="s">
        <v>213</v>
      </c>
      <c r="C13" s="410">
        <v>600</v>
      </c>
      <c r="D13" s="411">
        <v>4996.0199999999995</v>
      </c>
      <c r="E13" s="411">
        <v>19984.079999999998</v>
      </c>
      <c r="F13" s="411">
        <v>24980.1</v>
      </c>
      <c r="G13" s="449">
        <v>0.25</v>
      </c>
      <c r="H13" s="454">
        <v>6804</v>
      </c>
      <c r="I13" s="452">
        <v>6804.684453906666</v>
      </c>
      <c r="J13" s="454">
        <v>7827.1815072399986</v>
      </c>
      <c r="K13" s="454">
        <v>5970.5177872399981</v>
      </c>
    </row>
    <row r="14" spans="1:11" ht="46.5" customHeight="1" x14ac:dyDescent="0.25">
      <c r="A14" s="750"/>
      <c r="B14" s="418" t="s">
        <v>32</v>
      </c>
      <c r="C14" s="406">
        <v>450</v>
      </c>
      <c r="D14" s="419">
        <v>4996.0199999999995</v>
      </c>
      <c r="E14" s="419">
        <v>14988.06</v>
      </c>
      <c r="F14" s="419">
        <v>19984.079999999998</v>
      </c>
      <c r="G14" s="448">
        <v>0.64</v>
      </c>
      <c r="H14" s="453">
        <v>9500</v>
      </c>
      <c r="I14" s="452">
        <v>9554.9586916074695</v>
      </c>
      <c r="J14" s="453">
        <v>11254.479021740801</v>
      </c>
      <c r="K14" s="453">
        <v>8720.7920249408016</v>
      </c>
    </row>
    <row r="15" spans="1:11" ht="46.5" customHeight="1" x14ac:dyDescent="0.25">
      <c r="A15" s="750"/>
      <c r="B15" s="409" t="s">
        <v>237</v>
      </c>
      <c r="C15" s="410">
        <v>450</v>
      </c>
      <c r="D15" s="411">
        <v>4996.0199999999995</v>
      </c>
      <c r="E15" s="411">
        <v>14988.06</v>
      </c>
      <c r="F15" s="411">
        <v>19984.079999999998</v>
      </c>
      <c r="G15" s="449">
        <v>0.51</v>
      </c>
      <c r="H15" s="454">
        <v>8300</v>
      </c>
      <c r="I15" s="452">
        <v>8389.0815691038661</v>
      </c>
      <c r="J15" s="454">
        <v>9816.7934311371991</v>
      </c>
      <c r="K15" s="454">
        <v>7554.9149024371991</v>
      </c>
    </row>
    <row r="16" spans="1:11" ht="46.5" customHeight="1" x14ac:dyDescent="0.25">
      <c r="A16" s="750"/>
      <c r="B16" s="418" t="s">
        <v>238</v>
      </c>
      <c r="C16" s="406">
        <v>300</v>
      </c>
      <c r="D16" s="419">
        <v>4996.0199999999995</v>
      </c>
      <c r="E16" s="419">
        <v>9992.0399999999991</v>
      </c>
      <c r="F16" s="419">
        <v>14988.059999999998</v>
      </c>
      <c r="G16" s="448">
        <v>0.59</v>
      </c>
      <c r="H16" s="453">
        <v>7300</v>
      </c>
      <c r="I16" s="452">
        <v>7342.7815873698664</v>
      </c>
      <c r="J16" s="453">
        <v>8526.5627729032003</v>
      </c>
      <c r="K16" s="453">
        <v>6508.6149207032004</v>
      </c>
    </row>
    <row r="17" spans="1:11" ht="46.5" customHeight="1" x14ac:dyDescent="0.25">
      <c r="A17" s="750"/>
      <c r="B17" s="409" t="s">
        <v>240</v>
      </c>
      <c r="C17" s="410">
        <v>300</v>
      </c>
      <c r="D17" s="411">
        <v>4996.0199999999995</v>
      </c>
      <c r="E17" s="411">
        <v>9992.0399999999991</v>
      </c>
      <c r="F17" s="411">
        <v>14988.059999999998</v>
      </c>
      <c r="G17" s="449">
        <v>0.55000000000000004</v>
      </c>
      <c r="H17" s="454">
        <v>7100</v>
      </c>
      <c r="I17" s="452">
        <v>7103.627305830666</v>
      </c>
      <c r="J17" s="454">
        <v>8219.0503311640005</v>
      </c>
      <c r="K17" s="454">
        <v>6269.460639164</v>
      </c>
    </row>
    <row r="18" spans="1:11" ht="46.5" customHeight="1" x14ac:dyDescent="0.25">
      <c r="A18" s="750"/>
      <c r="B18" s="418" t="s">
        <v>239</v>
      </c>
      <c r="C18" s="406">
        <v>300</v>
      </c>
      <c r="D18" s="419">
        <v>4996.0199999999995</v>
      </c>
      <c r="E18" s="419">
        <v>9992.0399999999991</v>
      </c>
      <c r="F18" s="419">
        <v>14988.059999999998</v>
      </c>
      <c r="G18" s="448">
        <v>0.52</v>
      </c>
      <c r="H18" s="453">
        <v>6900</v>
      </c>
      <c r="I18" s="452">
        <v>6924.2615946762644</v>
      </c>
      <c r="J18" s="453">
        <v>7983.9290368095999</v>
      </c>
      <c r="K18" s="453">
        <v>6090.0949280096002</v>
      </c>
    </row>
    <row r="19" spans="1:11" ht="46.5" customHeight="1" x14ac:dyDescent="0.25">
      <c r="A19" s="750"/>
      <c r="B19" s="409" t="s">
        <v>216</v>
      </c>
      <c r="C19" s="410">
        <v>300</v>
      </c>
      <c r="D19" s="411">
        <v>4996.0199999999995</v>
      </c>
      <c r="E19" s="411">
        <v>9992.0399999999991</v>
      </c>
      <c r="F19" s="411">
        <v>14988.059999999998</v>
      </c>
      <c r="G19" s="441">
        <v>0.19</v>
      </c>
      <c r="H19" s="454">
        <v>4900</v>
      </c>
      <c r="I19" s="452">
        <v>4876.7811827511987</v>
      </c>
      <c r="J19" s="454">
        <v>5397.5947989111992</v>
      </c>
      <c r="K19" s="454">
        <v>4629.2811827511996</v>
      </c>
    </row>
    <row r="20" spans="1:11" ht="46.5" customHeight="1" x14ac:dyDescent="0.45">
      <c r="A20" s="751" t="s">
        <v>172</v>
      </c>
      <c r="B20" s="418" t="s">
        <v>282</v>
      </c>
      <c r="C20" s="406">
        <v>125</v>
      </c>
      <c r="D20" s="419">
        <v>3330.68</v>
      </c>
      <c r="E20" s="419">
        <v>4163.3499999999995</v>
      </c>
      <c r="F20" s="419">
        <v>7494.0299999999988</v>
      </c>
      <c r="G20" s="440">
        <v>0.95</v>
      </c>
      <c r="H20" s="397">
        <v>5000</v>
      </c>
      <c r="I20" s="361">
        <v>5055.7404010649998</v>
      </c>
      <c r="J20" s="455">
        <v>5606.2403680650004</v>
      </c>
      <c r="K20" s="455">
        <v>4808.2404010649998</v>
      </c>
    </row>
    <row r="21" spans="1:11" ht="46.5" customHeight="1" x14ac:dyDescent="0.25">
      <c r="A21" s="751"/>
      <c r="B21" s="409" t="s">
        <v>281</v>
      </c>
      <c r="C21" s="410">
        <v>125</v>
      </c>
      <c r="D21" s="411">
        <v>3330.68</v>
      </c>
      <c r="E21" s="411">
        <v>4163.3499999999995</v>
      </c>
      <c r="F21" s="411">
        <v>7494.0299999999988</v>
      </c>
      <c r="G21" s="449">
        <v>0.73</v>
      </c>
      <c r="H21" s="454">
        <v>4500</v>
      </c>
      <c r="I21" s="452">
        <v>4526.521709532999</v>
      </c>
      <c r="J21" s="454">
        <v>5734.0135795650003</v>
      </c>
      <c r="K21" s="454">
        <v>4192.0327930709991</v>
      </c>
    </row>
    <row r="22" spans="1:11" ht="46.5" customHeight="1" x14ac:dyDescent="0.45">
      <c r="A22" s="751"/>
      <c r="B22" s="427" t="s">
        <v>241</v>
      </c>
      <c r="C22" s="428">
        <v>125</v>
      </c>
      <c r="D22" s="419">
        <v>3330.68</v>
      </c>
      <c r="E22" s="419">
        <v>4163.3499999999995</v>
      </c>
      <c r="F22" s="419">
        <v>7494.0299999999988</v>
      </c>
      <c r="G22" s="441">
        <v>0.52</v>
      </c>
      <c r="H22" s="397">
        <v>4000</v>
      </c>
      <c r="I22" s="361">
        <v>3910.4646218039993</v>
      </c>
      <c r="J22" s="455">
        <v>4270.8937490039989</v>
      </c>
      <c r="K22" s="455">
        <v>3662.9646218039993</v>
      </c>
    </row>
    <row r="23" spans="1:11" ht="46.5" customHeight="1" x14ac:dyDescent="0.45">
      <c r="A23" s="751"/>
      <c r="B23" s="424" t="s">
        <v>198</v>
      </c>
      <c r="C23" s="426">
        <v>125</v>
      </c>
      <c r="D23" s="411">
        <v>3330.68</v>
      </c>
      <c r="E23" s="411">
        <v>4163.3499999999995</v>
      </c>
      <c r="F23" s="411">
        <v>7494.0299999999988</v>
      </c>
      <c r="G23" s="441">
        <v>0.18</v>
      </c>
      <c r="H23" s="450">
        <v>3000</v>
      </c>
      <c r="I23" s="361">
        <v>2928.5236195109992</v>
      </c>
      <c r="J23" s="454">
        <v>3160.5987478859997</v>
      </c>
      <c r="K23" s="454">
        <v>2710.6437730859998</v>
      </c>
    </row>
    <row r="24" spans="1:11" ht="46.5" customHeight="1" x14ac:dyDescent="0.45">
      <c r="A24" s="740" t="s">
        <v>171</v>
      </c>
      <c r="B24" s="740"/>
      <c r="C24" s="428">
        <v>50</v>
      </c>
      <c r="D24" s="419">
        <v>1665.34</v>
      </c>
      <c r="E24" s="419">
        <v>1665.34</v>
      </c>
      <c r="F24" s="419">
        <v>3330.68</v>
      </c>
      <c r="G24" s="441">
        <v>0.54</v>
      </c>
      <c r="H24" s="397">
        <v>1795</v>
      </c>
      <c r="I24" s="361">
        <v>1777.3453070865335</v>
      </c>
      <c r="J24" s="455">
        <v>1873.6116390632003</v>
      </c>
      <c r="K24" s="455">
        <v>1644.5420033431999</v>
      </c>
    </row>
    <row r="25" spans="1:11" ht="9.75" customHeight="1" x14ac:dyDescent="0.45">
      <c r="A25" s="429"/>
      <c r="B25" s="430"/>
      <c r="C25" s="431"/>
      <c r="D25" s="431"/>
      <c r="E25" s="431"/>
      <c r="F25" s="431"/>
      <c r="G25" s="444"/>
      <c r="H25" s="445"/>
      <c r="I25" s="446"/>
      <c r="J25" s="447"/>
      <c r="K25" s="447"/>
    </row>
    <row r="26" spans="1:11" ht="45.75" customHeight="1" x14ac:dyDescent="0.25">
      <c r="A26" s="745" t="s">
        <v>28</v>
      </c>
      <c r="B26" s="418" t="s">
        <v>215</v>
      </c>
      <c r="C26" s="406">
        <v>600</v>
      </c>
      <c r="D26" s="419">
        <v>4996.0199999999995</v>
      </c>
      <c r="E26" s="419">
        <v>19984.079999999998</v>
      </c>
      <c r="F26" s="419">
        <v>24980.1</v>
      </c>
      <c r="G26" s="440">
        <v>0.64</v>
      </c>
      <c r="H26" s="455">
        <v>11900</v>
      </c>
      <c r="I26" s="451">
        <v>11922.396284898537</v>
      </c>
      <c r="J26" s="455">
        <v>13715.232301715201</v>
      </c>
      <c r="K26" s="455">
        <v>10716.315922515201</v>
      </c>
    </row>
    <row r="27" spans="1:11" ht="45.75" customHeight="1" x14ac:dyDescent="0.25">
      <c r="A27" s="745"/>
      <c r="B27" s="409" t="s">
        <v>214</v>
      </c>
      <c r="C27" s="410">
        <v>600</v>
      </c>
      <c r="D27" s="411">
        <v>4996.0199999999995</v>
      </c>
      <c r="E27" s="411">
        <v>19984.079999999998</v>
      </c>
      <c r="F27" s="411">
        <v>24980.1</v>
      </c>
      <c r="G27" s="449">
        <v>0.33</v>
      </c>
      <c r="H27" s="454">
        <v>8000</v>
      </c>
      <c r="I27" s="451">
        <v>8005.7978475177342</v>
      </c>
      <c r="J27" s="454">
        <v>9094.9777541343992</v>
      </c>
      <c r="K27" s="454">
        <v>6969.5655117343995</v>
      </c>
    </row>
    <row r="28" spans="1:11" ht="45.75" customHeight="1" x14ac:dyDescent="0.25">
      <c r="A28" s="745"/>
      <c r="B28" s="418" t="s">
        <v>220</v>
      </c>
      <c r="C28" s="406">
        <v>600</v>
      </c>
      <c r="D28" s="419">
        <v>4996.0199999999995</v>
      </c>
      <c r="E28" s="419">
        <v>19984.079999999998</v>
      </c>
      <c r="F28" s="419">
        <v>16231.55401011872</v>
      </c>
      <c r="G28" s="440">
        <v>0.25</v>
      </c>
      <c r="H28" s="455">
        <v>6844</v>
      </c>
      <c r="I28" s="451">
        <v>6968.3928282366678</v>
      </c>
      <c r="J28" s="455">
        <v>7869.3179399200008</v>
      </c>
      <c r="K28" s="455">
        <v>6002.6621799200011</v>
      </c>
    </row>
    <row r="29" spans="1:11" ht="45.75" customHeight="1" x14ac:dyDescent="0.25">
      <c r="A29" s="745"/>
      <c r="B29" s="409" t="s">
        <v>32</v>
      </c>
      <c r="C29" s="410">
        <v>450</v>
      </c>
      <c r="D29" s="411">
        <v>4996.0199999999995</v>
      </c>
      <c r="E29" s="411">
        <v>14988.06</v>
      </c>
      <c r="F29" s="411">
        <v>19984.079999999998</v>
      </c>
      <c r="G29" s="449">
        <v>0.6</v>
      </c>
      <c r="H29" s="454">
        <v>9500</v>
      </c>
      <c r="I29" s="451">
        <v>9521.9004684393349</v>
      </c>
      <c r="J29" s="454">
        <v>10883.463385455998</v>
      </c>
      <c r="K29" s="454">
        <v>8419.9205094559984</v>
      </c>
    </row>
    <row r="30" spans="1:11" ht="45.75" customHeight="1" x14ac:dyDescent="0.25">
      <c r="A30" s="745"/>
      <c r="B30" s="418" t="s">
        <v>237</v>
      </c>
      <c r="C30" s="406">
        <v>450</v>
      </c>
      <c r="D30" s="419">
        <v>4996.0199999999995</v>
      </c>
      <c r="E30" s="419">
        <v>14988.06</v>
      </c>
      <c r="F30" s="419">
        <v>19984.079999999998</v>
      </c>
      <c r="G30" s="440">
        <v>0.48</v>
      </c>
      <c r="H30" s="455">
        <v>8300</v>
      </c>
      <c r="I30" s="451">
        <v>8384.8235027481333</v>
      </c>
      <c r="J30" s="455">
        <v>9542.0991619647994</v>
      </c>
      <c r="K30" s="455">
        <v>7332.1542611647992</v>
      </c>
    </row>
    <row r="31" spans="1:11" ht="45.75" customHeight="1" x14ac:dyDescent="0.25">
      <c r="A31" s="745"/>
      <c r="B31" s="409" t="s">
        <v>234</v>
      </c>
      <c r="C31" s="410">
        <v>300</v>
      </c>
      <c r="D31" s="411">
        <v>4996.0199999999995</v>
      </c>
      <c r="E31" s="411">
        <v>9992.0399999999991</v>
      </c>
      <c r="F31" s="411">
        <v>14988.059999999998</v>
      </c>
      <c r="G31" s="449">
        <v>0.55000000000000004</v>
      </c>
      <c r="H31" s="454">
        <v>7300</v>
      </c>
      <c r="I31" s="451">
        <v>7310.917479595334</v>
      </c>
      <c r="J31" s="454">
        <v>8265.4004071119998</v>
      </c>
      <c r="K31" s="454">
        <v>6304.8194711120013</v>
      </c>
    </row>
    <row r="32" spans="1:11" ht="45.75" customHeight="1" x14ac:dyDescent="0.25">
      <c r="A32" s="745"/>
      <c r="B32" s="418" t="s">
        <v>242</v>
      </c>
      <c r="C32" s="406">
        <v>300</v>
      </c>
      <c r="D32" s="419">
        <v>4996.0199999999995</v>
      </c>
      <c r="E32" s="419">
        <v>9992.0399999999991</v>
      </c>
      <c r="F32" s="419">
        <v>14988.059999999998</v>
      </c>
      <c r="G32" s="440">
        <v>0.55000000000000004</v>
      </c>
      <c r="H32" s="455">
        <v>7100</v>
      </c>
      <c r="I32" s="451">
        <v>7138.9861377786683</v>
      </c>
      <c r="J32" s="455">
        <v>8265.4004071119998</v>
      </c>
      <c r="K32" s="455">
        <v>6304.8194711120013</v>
      </c>
    </row>
    <row r="33" spans="1:11" ht="45.75" customHeight="1" x14ac:dyDescent="0.25">
      <c r="A33" s="745"/>
      <c r="B33" s="409" t="s">
        <v>235</v>
      </c>
      <c r="C33" s="410">
        <v>300</v>
      </c>
      <c r="D33" s="411">
        <v>4996.0199999999995</v>
      </c>
      <c r="E33" s="411">
        <v>9992.0399999999991</v>
      </c>
      <c r="F33" s="411">
        <v>14988.059999999998</v>
      </c>
      <c r="G33" s="449">
        <v>0.5</v>
      </c>
      <c r="H33" s="454">
        <v>6900</v>
      </c>
      <c r="I33" s="451">
        <v>6968.3928282366678</v>
      </c>
      <c r="J33" s="454">
        <v>7869.3179399200008</v>
      </c>
      <c r="K33" s="454">
        <v>6002.6621799200011</v>
      </c>
    </row>
    <row r="34" spans="1:11" ht="45.75" customHeight="1" x14ac:dyDescent="0.25">
      <c r="A34" s="745"/>
      <c r="B34" s="424" t="s">
        <v>224</v>
      </c>
      <c r="C34" s="406">
        <v>300</v>
      </c>
      <c r="D34" s="419">
        <v>4996.0199999999995</v>
      </c>
      <c r="E34" s="419">
        <v>9992.0399999999991</v>
      </c>
      <c r="F34" s="419">
        <v>14988.059999999998</v>
      </c>
      <c r="G34" s="441">
        <v>0.19</v>
      </c>
      <c r="H34" s="455">
        <v>4900</v>
      </c>
      <c r="I34" s="451">
        <v>4921.0140934395986</v>
      </c>
      <c r="J34" s="455">
        <v>5413.6066433295991</v>
      </c>
      <c r="K34" s="455">
        <v>4643.0148420495989</v>
      </c>
    </row>
    <row r="35" spans="1:11" ht="45.75" customHeight="1" x14ac:dyDescent="0.25">
      <c r="A35" s="745" t="s">
        <v>29</v>
      </c>
      <c r="B35" s="409" t="s">
        <v>221</v>
      </c>
      <c r="C35" s="410">
        <v>600</v>
      </c>
      <c r="D35" s="411">
        <v>4996.0199999999995</v>
      </c>
      <c r="E35" s="411">
        <v>19984.079999999998</v>
      </c>
      <c r="F35" s="411">
        <v>24980.1</v>
      </c>
      <c r="G35" s="449">
        <v>0.62</v>
      </c>
      <c r="H35" s="454">
        <v>11600</v>
      </c>
      <c r="I35" s="451">
        <v>11669.712514744928</v>
      </c>
      <c r="J35" s="454">
        <v>13417.151363161598</v>
      </c>
      <c r="K35" s="454">
        <v>10474.5900895616</v>
      </c>
    </row>
    <row r="36" spans="1:11" ht="45.75" customHeight="1" x14ac:dyDescent="0.25">
      <c r="A36" s="745"/>
      <c r="B36" s="418" t="s">
        <v>222</v>
      </c>
      <c r="C36" s="406">
        <v>600</v>
      </c>
      <c r="D36" s="419">
        <v>4996.0199999999995</v>
      </c>
      <c r="E36" s="419">
        <v>19984.079999999998</v>
      </c>
      <c r="F36" s="419">
        <v>24980.1</v>
      </c>
      <c r="G36" s="440">
        <v>0.33</v>
      </c>
      <c r="H36" s="455">
        <v>7900</v>
      </c>
      <c r="I36" s="451">
        <v>8005.7978475177342</v>
      </c>
      <c r="J36" s="455">
        <v>9094.9777541343992</v>
      </c>
      <c r="K36" s="455">
        <v>6969.5655117343995</v>
      </c>
    </row>
    <row r="37" spans="1:11" ht="45.75" customHeight="1" x14ac:dyDescent="0.25">
      <c r="A37" s="745"/>
      <c r="B37" s="409" t="s">
        <v>32</v>
      </c>
      <c r="C37" s="410">
        <v>450</v>
      </c>
      <c r="D37" s="411">
        <v>4996.0199999999995</v>
      </c>
      <c r="E37" s="411">
        <v>14988.06</v>
      </c>
      <c r="F37" s="411">
        <v>19984.079999999998</v>
      </c>
      <c r="G37" s="449">
        <v>0.55000000000000004</v>
      </c>
      <c r="H37" s="454">
        <v>9000</v>
      </c>
      <c r="I37" s="451">
        <v>9048.1183994013318</v>
      </c>
      <c r="J37" s="454">
        <v>10324.561625667999</v>
      </c>
      <c r="K37" s="454">
        <v>7966.6845726679994</v>
      </c>
    </row>
    <row r="38" spans="1:11" ht="45.75" customHeight="1" x14ac:dyDescent="0.25">
      <c r="A38" s="745"/>
      <c r="B38" s="418" t="s">
        <v>237</v>
      </c>
      <c r="C38" s="406">
        <v>450</v>
      </c>
      <c r="D38" s="419">
        <v>4996.0199999999995</v>
      </c>
      <c r="E38" s="419">
        <v>14988.06</v>
      </c>
      <c r="F38" s="419">
        <v>19984.079999999998</v>
      </c>
      <c r="G38" s="440">
        <v>0.44</v>
      </c>
      <c r="H38" s="455">
        <v>8000</v>
      </c>
      <c r="I38" s="451">
        <v>8005.7978475177342</v>
      </c>
      <c r="J38" s="455">
        <v>9094.9777541343992</v>
      </c>
      <c r="K38" s="455">
        <v>6969.5655117343995</v>
      </c>
    </row>
    <row r="39" spans="1:11" ht="45.75" customHeight="1" x14ac:dyDescent="0.25">
      <c r="A39" s="745"/>
      <c r="B39" s="409" t="s">
        <v>225</v>
      </c>
      <c r="C39" s="410">
        <v>450</v>
      </c>
      <c r="D39" s="411">
        <v>4996.0199999999995</v>
      </c>
      <c r="E39" s="411">
        <v>14988.06</v>
      </c>
      <c r="F39" s="411">
        <v>19984.079999999998</v>
      </c>
      <c r="G39" s="449">
        <v>0.34</v>
      </c>
      <c r="H39" s="454">
        <v>7000</v>
      </c>
      <c r="I39" s="451">
        <v>7037.1992813350671</v>
      </c>
      <c r="J39" s="454">
        <v>7948.5344333584007</v>
      </c>
      <c r="K39" s="454">
        <v>6063.0936381584006</v>
      </c>
    </row>
    <row r="40" spans="1:11" ht="45.75" customHeight="1" x14ac:dyDescent="0.25">
      <c r="A40" s="745"/>
      <c r="B40" s="418" t="s">
        <v>243</v>
      </c>
      <c r="C40" s="406">
        <v>450</v>
      </c>
      <c r="D40" s="419">
        <v>4996.0199999999995</v>
      </c>
      <c r="E40" s="419">
        <v>14988.06</v>
      </c>
      <c r="F40" s="419">
        <v>19984.079999999998</v>
      </c>
      <c r="G40" s="440">
        <v>0.31</v>
      </c>
      <c r="H40" s="455">
        <v>6700</v>
      </c>
      <c r="I40" s="451">
        <v>6727.5702423922676</v>
      </c>
      <c r="J40" s="455">
        <v>7592.0602128856008</v>
      </c>
      <c r="K40" s="455">
        <v>5791.1520760856001</v>
      </c>
    </row>
    <row r="41" spans="1:11" ht="45.75" customHeight="1" x14ac:dyDescent="0.25">
      <c r="A41" s="745"/>
      <c r="B41" s="409" t="s">
        <v>226</v>
      </c>
      <c r="C41" s="410">
        <v>200</v>
      </c>
      <c r="D41" s="411">
        <v>4996.0199999999995</v>
      </c>
      <c r="E41" s="411">
        <v>6661.36</v>
      </c>
      <c r="F41" s="411">
        <v>11657.38</v>
      </c>
      <c r="G41" s="449">
        <v>0.73</v>
      </c>
      <c r="H41" s="454">
        <v>6800</v>
      </c>
      <c r="I41" s="451">
        <v>6876.6508907721336</v>
      </c>
      <c r="J41" s="454">
        <v>7763.6959486688002</v>
      </c>
      <c r="K41" s="454">
        <v>5922.0869022688003</v>
      </c>
    </row>
    <row r="42" spans="1:11" ht="45.75" customHeight="1" x14ac:dyDescent="0.25">
      <c r="A42" s="745"/>
      <c r="B42" s="418" t="s">
        <v>227</v>
      </c>
      <c r="C42" s="406">
        <v>200</v>
      </c>
      <c r="D42" s="419">
        <v>4996.0199999999995</v>
      </c>
      <c r="E42" s="419">
        <v>6661.36</v>
      </c>
      <c r="F42" s="419">
        <v>11657.38</v>
      </c>
      <c r="G42" s="440">
        <v>0.55000000000000004</v>
      </c>
      <c r="H42" s="455">
        <v>6000</v>
      </c>
      <c r="I42" s="451">
        <v>6092.9747501246666</v>
      </c>
      <c r="J42" s="455">
        <v>6813.0980274080002</v>
      </c>
      <c r="K42" s="455">
        <v>5125.6794578080007</v>
      </c>
    </row>
    <row r="43" spans="1:11" ht="45.75" customHeight="1" x14ac:dyDescent="0.25">
      <c r="A43" s="746" t="s">
        <v>31</v>
      </c>
      <c r="B43" s="409" t="s">
        <v>32</v>
      </c>
      <c r="C43" s="410">
        <v>270</v>
      </c>
      <c r="D43" s="411">
        <v>4996.0199999999995</v>
      </c>
      <c r="E43" s="411">
        <v>8992.8359999999993</v>
      </c>
      <c r="F43" s="411">
        <v>13988.856</v>
      </c>
      <c r="G43" s="449">
        <v>0.62</v>
      </c>
      <c r="H43" s="454">
        <v>7351</v>
      </c>
      <c r="I43" s="451">
        <v>7361.4542336260529</v>
      </c>
      <c r="J43" s="454">
        <v>8328.7736018627184</v>
      </c>
      <c r="K43" s="454">
        <v>6353.1646377027191</v>
      </c>
    </row>
    <row r="44" spans="1:11" ht="45.75" customHeight="1" x14ac:dyDescent="0.25">
      <c r="A44" s="746"/>
      <c r="B44" s="418" t="s">
        <v>225</v>
      </c>
      <c r="C44" s="406">
        <v>270</v>
      </c>
      <c r="D44" s="419">
        <v>4996.0199999999995</v>
      </c>
      <c r="E44" s="419">
        <v>8992.8359999999993</v>
      </c>
      <c r="F44" s="419">
        <v>13988.856</v>
      </c>
      <c r="G44" s="440">
        <v>0.41</v>
      </c>
      <c r="H44" s="455">
        <v>6000</v>
      </c>
      <c r="I44" s="451">
        <v>6113.5043596876249</v>
      </c>
      <c r="J44" s="455">
        <v>6831.5818758769583</v>
      </c>
      <c r="K44" s="455">
        <v>5211.0100769969586</v>
      </c>
    </row>
    <row r="45" spans="1:11" ht="45.75" customHeight="1" x14ac:dyDescent="0.25">
      <c r="A45" s="746"/>
      <c r="B45" s="409" t="s">
        <v>226</v>
      </c>
      <c r="C45" s="410">
        <v>180</v>
      </c>
      <c r="D45" s="411">
        <v>4996.0199999999995</v>
      </c>
      <c r="E45" s="411">
        <v>5995.2240000000002</v>
      </c>
      <c r="F45" s="411">
        <v>10991.243999999999</v>
      </c>
      <c r="G45" s="449">
        <v>0.62</v>
      </c>
      <c r="H45" s="454">
        <v>6100</v>
      </c>
      <c r="I45" s="451">
        <v>6132.2677920971464</v>
      </c>
      <c r="J45" s="454">
        <v>6855.3468239084796</v>
      </c>
      <c r="K45" s="454">
        <v>5229.1395144684802</v>
      </c>
    </row>
    <row r="46" spans="1:11" ht="45.75" customHeight="1" x14ac:dyDescent="0.25">
      <c r="A46" s="746"/>
      <c r="B46" s="418" t="s">
        <v>227</v>
      </c>
      <c r="C46" s="406">
        <v>180</v>
      </c>
      <c r="D46" s="419">
        <v>4996.0199999999995</v>
      </c>
      <c r="E46" s="419">
        <v>5995.2240000000002</v>
      </c>
      <c r="F46" s="419">
        <v>10991.243999999999</v>
      </c>
      <c r="G46" s="440">
        <v>0.44</v>
      </c>
      <c r="H46" s="455">
        <v>5400</v>
      </c>
      <c r="I46" s="451">
        <v>5439.4491303997593</v>
      </c>
      <c r="J46" s="455">
        <v>5999.8086947737602</v>
      </c>
      <c r="K46" s="455">
        <v>5145.8113372057596</v>
      </c>
    </row>
    <row r="47" spans="1:11" ht="45.75" customHeight="1" x14ac:dyDescent="0.25">
      <c r="A47" s="746"/>
      <c r="B47" s="436" t="s">
        <v>228</v>
      </c>
      <c r="C47" s="433">
        <v>180</v>
      </c>
      <c r="D47" s="411">
        <v>4996.0199999999995</v>
      </c>
      <c r="E47" s="411">
        <v>5995.2240000000002</v>
      </c>
      <c r="F47" s="411">
        <v>10991.243999999999</v>
      </c>
      <c r="G47" s="442">
        <v>0.1</v>
      </c>
      <c r="H47" s="454">
        <v>3900</v>
      </c>
      <c r="I47" s="451">
        <v>4010.2498393203991</v>
      </c>
      <c r="J47" s="454">
        <v>4383.7922286303992</v>
      </c>
      <c r="K47" s="454">
        <v>3759.7237019103995</v>
      </c>
    </row>
    <row r="48" spans="1:11" ht="45.75" customHeight="1" x14ac:dyDescent="0.25">
      <c r="A48" s="746"/>
      <c r="B48" s="424" t="s">
        <v>199</v>
      </c>
      <c r="C48" s="437">
        <v>125</v>
      </c>
      <c r="D48" s="419">
        <v>3331</v>
      </c>
      <c r="E48" s="419">
        <v>4163</v>
      </c>
      <c r="F48" s="419">
        <v>7494</v>
      </c>
      <c r="G48" s="441">
        <v>0.5</v>
      </c>
      <c r="H48" s="455">
        <v>3800</v>
      </c>
      <c r="I48" s="451">
        <v>3807.3940876499987</v>
      </c>
      <c r="J48" s="455">
        <v>4154.4202739999992</v>
      </c>
      <c r="K48" s="455">
        <v>3562.9870739999997</v>
      </c>
    </row>
    <row r="49" spans="1:11" ht="45.75" customHeight="1" x14ac:dyDescent="0.25">
      <c r="A49" s="747" t="s">
        <v>173</v>
      </c>
      <c r="B49" s="748"/>
      <c r="C49" s="456">
        <v>125</v>
      </c>
      <c r="D49" s="411">
        <v>3330.68</v>
      </c>
      <c r="E49" s="411">
        <v>4163.3499999999995</v>
      </c>
      <c r="F49" s="411">
        <v>7494.0299999999988</v>
      </c>
      <c r="G49" s="441">
        <v>0.19</v>
      </c>
      <c r="H49" s="454">
        <v>3023</v>
      </c>
      <c r="I49" s="451">
        <v>2963.3045784789997</v>
      </c>
      <c r="J49" s="454">
        <v>3199.9260850539995</v>
      </c>
      <c r="K49" s="454">
        <v>2744.3755678539997</v>
      </c>
    </row>
    <row r="50" spans="1:11" ht="45.75" customHeight="1" x14ac:dyDescent="0.25">
      <c r="A50" s="739" t="s">
        <v>174</v>
      </c>
      <c r="B50" s="739"/>
      <c r="C50" s="433">
        <v>75</v>
      </c>
      <c r="D50" s="411">
        <v>2498.0099999999998</v>
      </c>
      <c r="E50" s="411">
        <v>2498</v>
      </c>
      <c r="F50" s="411">
        <v>4996.01</v>
      </c>
      <c r="G50" s="440">
        <v>0.63</v>
      </c>
      <c r="H50" s="455">
        <v>2822</v>
      </c>
      <c r="I50" s="451">
        <v>2891.0054536900002</v>
      </c>
      <c r="J50" s="455">
        <v>3118.1764110399999</v>
      </c>
      <c r="K50" s="455">
        <v>2674.2573390399998</v>
      </c>
    </row>
  </sheetData>
  <mergeCells count="10">
    <mergeCell ref="A35:A42"/>
    <mergeCell ref="A43:A48"/>
    <mergeCell ref="A49:B49"/>
    <mergeCell ref="A50:B50"/>
    <mergeCell ref="A1:B1"/>
    <mergeCell ref="A2:A10"/>
    <mergeCell ref="A11:A19"/>
    <mergeCell ref="A20:A23"/>
    <mergeCell ref="A24:B24"/>
    <mergeCell ref="A26:A34"/>
  </mergeCells>
  <pageMargins left="0.31496062992125984" right="0.11811023622047245" top="0.35433070866141736" bottom="0" header="0.31496062992125984" footer="0.31496062992125984"/>
  <pageSetup paperSize="9" scale="3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60" zoomScaleNormal="60" workbookViewId="0">
      <selection sqref="A1:XFD1048576"/>
    </sheetView>
  </sheetViews>
  <sheetFormatPr defaultRowHeight="15" x14ac:dyDescent="0.25"/>
  <cols>
    <col min="1" max="1" width="23.140625" customWidth="1"/>
    <col min="2" max="2" width="85.42578125" customWidth="1"/>
    <col min="3" max="6" width="16.5703125" customWidth="1"/>
    <col min="7" max="7" width="16.5703125" style="443" customWidth="1"/>
    <col min="8" max="8" width="21.5703125" customWidth="1"/>
    <col min="9" max="9" width="21.85546875" customWidth="1"/>
    <col min="10" max="11" width="16.5703125" customWidth="1"/>
  </cols>
  <sheetData>
    <row r="1" spans="1:11" ht="78.75" x14ac:dyDescent="0.25">
      <c r="A1" s="749" t="s">
        <v>2</v>
      </c>
      <c r="B1" s="749"/>
      <c r="C1" s="438" t="s">
        <v>3</v>
      </c>
      <c r="D1" s="438" t="s">
        <v>229</v>
      </c>
      <c r="E1" s="438" t="s">
        <v>253</v>
      </c>
      <c r="F1" s="438" t="s">
        <v>231</v>
      </c>
      <c r="G1" s="438" t="s">
        <v>37</v>
      </c>
      <c r="H1" s="439" t="s">
        <v>206</v>
      </c>
      <c r="I1" s="439" t="s">
        <v>280</v>
      </c>
      <c r="J1" s="438" t="s">
        <v>284</v>
      </c>
      <c r="K1" s="438" t="s">
        <v>285</v>
      </c>
    </row>
    <row r="2" spans="1:11" ht="36" customHeight="1" x14ac:dyDescent="0.25">
      <c r="A2" s="745" t="s">
        <v>28</v>
      </c>
      <c r="B2" s="418" t="s">
        <v>215</v>
      </c>
      <c r="C2" s="406">
        <v>600</v>
      </c>
      <c r="D2" s="419">
        <v>4996.0199999999995</v>
      </c>
      <c r="E2" s="419">
        <v>19984.079999999998</v>
      </c>
      <c r="F2" s="419">
        <v>24980.1</v>
      </c>
      <c r="G2" s="440">
        <v>0.64</v>
      </c>
      <c r="H2" s="455">
        <v>11900</v>
      </c>
      <c r="I2" s="451">
        <v>11922.396284898537</v>
      </c>
      <c r="J2" s="455">
        <v>13715.232301715201</v>
      </c>
      <c r="K2" s="455">
        <v>10716.315922515201</v>
      </c>
    </row>
    <row r="3" spans="1:11" ht="36" customHeight="1" x14ac:dyDescent="0.25">
      <c r="A3" s="745"/>
      <c r="B3" s="409" t="s">
        <v>214</v>
      </c>
      <c r="C3" s="410">
        <v>600</v>
      </c>
      <c r="D3" s="411">
        <v>4996.0199999999995</v>
      </c>
      <c r="E3" s="411">
        <v>19984.079999999998</v>
      </c>
      <c r="F3" s="411">
        <v>24980.1</v>
      </c>
      <c r="G3" s="449">
        <v>0.33</v>
      </c>
      <c r="H3" s="454">
        <v>8000</v>
      </c>
      <c r="I3" s="451">
        <v>8005.7978475177342</v>
      </c>
      <c r="J3" s="454">
        <v>9094.9777541343992</v>
      </c>
      <c r="K3" s="454">
        <v>6969.5655117343995</v>
      </c>
    </row>
    <row r="4" spans="1:11" ht="36" customHeight="1" x14ac:dyDescent="0.25">
      <c r="A4" s="745"/>
      <c r="B4" s="418" t="s">
        <v>220</v>
      </c>
      <c r="C4" s="406">
        <v>600</v>
      </c>
      <c r="D4" s="419">
        <v>4996.0199999999995</v>
      </c>
      <c r="E4" s="419">
        <v>19984.079999999998</v>
      </c>
      <c r="F4" s="419">
        <v>16231.55401011872</v>
      </c>
      <c r="G4" s="440">
        <v>0.25</v>
      </c>
      <c r="H4" s="455">
        <v>6844</v>
      </c>
      <c r="I4" s="451">
        <v>6968.3928282366678</v>
      </c>
      <c r="J4" s="455">
        <v>7869.3179399200008</v>
      </c>
      <c r="K4" s="455">
        <v>6002.6621799200011</v>
      </c>
    </row>
    <row r="5" spans="1:11" ht="36" customHeight="1" x14ac:dyDescent="0.25">
      <c r="A5" s="745"/>
      <c r="B5" s="409" t="s">
        <v>32</v>
      </c>
      <c r="C5" s="410">
        <v>450</v>
      </c>
      <c r="D5" s="411">
        <v>4996.0199999999995</v>
      </c>
      <c r="E5" s="411">
        <v>14988.06</v>
      </c>
      <c r="F5" s="411">
        <v>19984.079999999998</v>
      </c>
      <c r="G5" s="449">
        <v>0.6</v>
      </c>
      <c r="H5" s="454">
        <v>9500</v>
      </c>
      <c r="I5" s="451">
        <v>9521.9004684393349</v>
      </c>
      <c r="J5" s="454">
        <v>10883.463385455998</v>
      </c>
      <c r="K5" s="454">
        <v>8419.9205094559984</v>
      </c>
    </row>
    <row r="6" spans="1:11" ht="36" customHeight="1" x14ac:dyDescent="0.25">
      <c r="A6" s="745"/>
      <c r="B6" s="418" t="s">
        <v>237</v>
      </c>
      <c r="C6" s="406">
        <v>450</v>
      </c>
      <c r="D6" s="419">
        <v>4996.0199999999995</v>
      </c>
      <c r="E6" s="419">
        <v>14988.06</v>
      </c>
      <c r="F6" s="419">
        <v>19984.079999999998</v>
      </c>
      <c r="G6" s="440">
        <v>0.48</v>
      </c>
      <c r="H6" s="455">
        <v>8300</v>
      </c>
      <c r="I6" s="451">
        <v>8384.8235027481333</v>
      </c>
      <c r="J6" s="455">
        <v>9542.0991619647994</v>
      </c>
      <c r="K6" s="455">
        <v>7332.1542611647992</v>
      </c>
    </row>
    <row r="7" spans="1:11" ht="36" customHeight="1" x14ac:dyDescent="0.25">
      <c r="A7" s="745"/>
      <c r="B7" s="409" t="s">
        <v>234</v>
      </c>
      <c r="C7" s="410">
        <v>300</v>
      </c>
      <c r="D7" s="411">
        <v>4996.0199999999995</v>
      </c>
      <c r="E7" s="411">
        <v>9992.0399999999991</v>
      </c>
      <c r="F7" s="411">
        <v>14988.059999999998</v>
      </c>
      <c r="G7" s="449">
        <v>0.55000000000000004</v>
      </c>
      <c r="H7" s="454">
        <v>7300</v>
      </c>
      <c r="I7" s="451">
        <v>7310.917479595334</v>
      </c>
      <c r="J7" s="454">
        <v>8265.4004071119998</v>
      </c>
      <c r="K7" s="454">
        <v>6304.8194711120013</v>
      </c>
    </row>
    <row r="8" spans="1:11" ht="36" customHeight="1" x14ac:dyDescent="0.25">
      <c r="A8" s="745"/>
      <c r="B8" s="418" t="s">
        <v>242</v>
      </c>
      <c r="C8" s="406">
        <v>300</v>
      </c>
      <c r="D8" s="419">
        <v>4996.0199999999995</v>
      </c>
      <c r="E8" s="419">
        <v>9992.0399999999991</v>
      </c>
      <c r="F8" s="419">
        <v>14988.059999999998</v>
      </c>
      <c r="G8" s="440">
        <v>0.55000000000000004</v>
      </c>
      <c r="H8" s="455">
        <v>7100</v>
      </c>
      <c r="I8" s="451">
        <v>7138.9861377786683</v>
      </c>
      <c r="J8" s="455">
        <v>8265.4004071119998</v>
      </c>
      <c r="K8" s="455">
        <v>6304.8194711120013</v>
      </c>
    </row>
    <row r="9" spans="1:11" ht="36" customHeight="1" x14ac:dyDescent="0.25">
      <c r="A9" s="745"/>
      <c r="B9" s="409" t="s">
        <v>235</v>
      </c>
      <c r="C9" s="410">
        <v>300</v>
      </c>
      <c r="D9" s="411">
        <v>4996.0199999999995</v>
      </c>
      <c r="E9" s="411">
        <v>9992.0399999999991</v>
      </c>
      <c r="F9" s="411">
        <v>14988.059999999998</v>
      </c>
      <c r="G9" s="449">
        <v>0.5</v>
      </c>
      <c r="H9" s="454">
        <v>6900</v>
      </c>
      <c r="I9" s="451">
        <v>6968.3928282366678</v>
      </c>
      <c r="J9" s="454">
        <v>7869.3179399200008</v>
      </c>
      <c r="K9" s="454">
        <v>6002.6621799200011</v>
      </c>
    </row>
    <row r="10" spans="1:11" ht="36" customHeight="1" x14ac:dyDescent="0.25">
      <c r="A10" s="745"/>
      <c r="B10" s="424" t="s">
        <v>224</v>
      </c>
      <c r="C10" s="406">
        <v>300</v>
      </c>
      <c r="D10" s="419">
        <v>4996.0199999999995</v>
      </c>
      <c r="E10" s="419">
        <v>9992.0399999999991</v>
      </c>
      <c r="F10" s="419">
        <v>14988.059999999998</v>
      </c>
      <c r="G10" s="441">
        <v>0.19</v>
      </c>
      <c r="H10" s="455">
        <v>4900</v>
      </c>
      <c r="I10" s="451">
        <v>4921.0140934395986</v>
      </c>
      <c r="J10" s="455">
        <v>5413.6066433295991</v>
      </c>
      <c r="K10" s="455">
        <v>4643.0148420495989</v>
      </c>
    </row>
    <row r="11" spans="1:11" ht="36" customHeight="1" x14ac:dyDescent="0.25">
      <c r="A11" s="745" t="s">
        <v>29</v>
      </c>
      <c r="B11" s="409" t="s">
        <v>221</v>
      </c>
      <c r="C11" s="410">
        <v>600</v>
      </c>
      <c r="D11" s="411">
        <v>4996.0199999999995</v>
      </c>
      <c r="E11" s="411">
        <v>19984.079999999998</v>
      </c>
      <c r="F11" s="411">
        <v>24980.1</v>
      </c>
      <c r="G11" s="449">
        <v>0.62</v>
      </c>
      <c r="H11" s="454">
        <v>11600</v>
      </c>
      <c r="I11" s="451">
        <v>11669.712514744928</v>
      </c>
      <c r="J11" s="454">
        <v>13417.151363161598</v>
      </c>
      <c r="K11" s="454">
        <v>10474.5900895616</v>
      </c>
    </row>
    <row r="12" spans="1:11" ht="36" customHeight="1" x14ac:dyDescent="0.25">
      <c r="A12" s="745"/>
      <c r="B12" s="418" t="s">
        <v>222</v>
      </c>
      <c r="C12" s="406">
        <v>600</v>
      </c>
      <c r="D12" s="419">
        <v>4996.0199999999995</v>
      </c>
      <c r="E12" s="419">
        <v>19984.079999999998</v>
      </c>
      <c r="F12" s="419">
        <v>24980.1</v>
      </c>
      <c r="G12" s="440">
        <v>0.33</v>
      </c>
      <c r="H12" s="455">
        <v>7900</v>
      </c>
      <c r="I12" s="451">
        <v>8005.7978475177342</v>
      </c>
      <c r="J12" s="455">
        <v>9094.9777541343992</v>
      </c>
      <c r="K12" s="455">
        <v>6969.5655117343995</v>
      </c>
    </row>
    <row r="13" spans="1:11" ht="36" customHeight="1" x14ac:dyDescent="0.25">
      <c r="A13" s="745"/>
      <c r="B13" s="409" t="s">
        <v>32</v>
      </c>
      <c r="C13" s="410">
        <v>450</v>
      </c>
      <c r="D13" s="411">
        <v>4996.0199999999995</v>
      </c>
      <c r="E13" s="411">
        <v>14988.06</v>
      </c>
      <c r="F13" s="411">
        <v>19984.079999999998</v>
      </c>
      <c r="G13" s="449">
        <v>0.55000000000000004</v>
      </c>
      <c r="H13" s="454">
        <v>9000</v>
      </c>
      <c r="I13" s="451">
        <v>9048.1183994013318</v>
      </c>
      <c r="J13" s="454">
        <v>10324.561625667999</v>
      </c>
      <c r="K13" s="454">
        <v>7966.6845726679994</v>
      </c>
    </row>
    <row r="14" spans="1:11" ht="36" customHeight="1" x14ac:dyDescent="0.25">
      <c r="A14" s="745"/>
      <c r="B14" s="418" t="s">
        <v>237</v>
      </c>
      <c r="C14" s="406">
        <v>450</v>
      </c>
      <c r="D14" s="419">
        <v>4996.0199999999995</v>
      </c>
      <c r="E14" s="419">
        <v>14988.06</v>
      </c>
      <c r="F14" s="419">
        <v>19984.079999999998</v>
      </c>
      <c r="G14" s="440">
        <v>0.44</v>
      </c>
      <c r="H14" s="455">
        <v>8000</v>
      </c>
      <c r="I14" s="451">
        <v>8005.7978475177342</v>
      </c>
      <c r="J14" s="455">
        <v>9094.9777541343992</v>
      </c>
      <c r="K14" s="455">
        <v>6969.5655117343995</v>
      </c>
    </row>
    <row r="15" spans="1:11" ht="36" customHeight="1" x14ac:dyDescent="0.25">
      <c r="A15" s="745"/>
      <c r="B15" s="409" t="s">
        <v>225</v>
      </c>
      <c r="C15" s="410">
        <v>450</v>
      </c>
      <c r="D15" s="411">
        <v>4996.0199999999995</v>
      </c>
      <c r="E15" s="411">
        <v>14988.06</v>
      </c>
      <c r="F15" s="411">
        <v>19984.079999999998</v>
      </c>
      <c r="G15" s="449">
        <v>0.34</v>
      </c>
      <c r="H15" s="454">
        <v>7000</v>
      </c>
      <c r="I15" s="451">
        <v>7037.1992813350671</v>
      </c>
      <c r="J15" s="454">
        <v>7948.5344333584007</v>
      </c>
      <c r="K15" s="454">
        <v>6063.0936381584006</v>
      </c>
    </row>
    <row r="16" spans="1:11" ht="36" customHeight="1" x14ac:dyDescent="0.25">
      <c r="A16" s="745"/>
      <c r="B16" s="418" t="s">
        <v>243</v>
      </c>
      <c r="C16" s="406">
        <v>450</v>
      </c>
      <c r="D16" s="419">
        <v>4996.0199999999995</v>
      </c>
      <c r="E16" s="419">
        <v>14988.06</v>
      </c>
      <c r="F16" s="419">
        <v>19984.079999999998</v>
      </c>
      <c r="G16" s="440">
        <v>0.31</v>
      </c>
      <c r="H16" s="455">
        <v>6700</v>
      </c>
      <c r="I16" s="451">
        <v>6727.5702423922676</v>
      </c>
      <c r="J16" s="455">
        <v>7592.0602128856008</v>
      </c>
      <c r="K16" s="455">
        <v>5791.1520760856001</v>
      </c>
    </row>
    <row r="17" spans="1:11" ht="36" customHeight="1" x14ac:dyDescent="0.25">
      <c r="A17" s="745"/>
      <c r="B17" s="409" t="s">
        <v>226</v>
      </c>
      <c r="C17" s="410">
        <v>200</v>
      </c>
      <c r="D17" s="411">
        <v>4996.0199999999995</v>
      </c>
      <c r="E17" s="411">
        <v>6661.36</v>
      </c>
      <c r="F17" s="411">
        <v>11657.38</v>
      </c>
      <c r="G17" s="449">
        <v>0.73</v>
      </c>
      <c r="H17" s="454">
        <v>6800</v>
      </c>
      <c r="I17" s="451">
        <v>6876.6508907721336</v>
      </c>
      <c r="J17" s="454">
        <v>7763.6959486688002</v>
      </c>
      <c r="K17" s="454">
        <v>5922.0869022688003</v>
      </c>
    </row>
    <row r="18" spans="1:11" ht="36" customHeight="1" x14ac:dyDescent="0.25">
      <c r="A18" s="745"/>
      <c r="B18" s="418" t="s">
        <v>227</v>
      </c>
      <c r="C18" s="406">
        <v>200</v>
      </c>
      <c r="D18" s="419">
        <v>4996.0199999999995</v>
      </c>
      <c r="E18" s="419">
        <v>6661.36</v>
      </c>
      <c r="F18" s="419">
        <v>11657.38</v>
      </c>
      <c r="G18" s="440">
        <v>0.55000000000000004</v>
      </c>
      <c r="H18" s="455">
        <v>6000</v>
      </c>
      <c r="I18" s="451">
        <v>6092.9747501246666</v>
      </c>
      <c r="J18" s="455">
        <v>6813.0980274080002</v>
      </c>
      <c r="K18" s="455">
        <v>5125.6794578080007</v>
      </c>
    </row>
    <row r="19" spans="1:11" ht="36" customHeight="1" x14ac:dyDescent="0.25">
      <c r="A19" s="746" t="s">
        <v>31</v>
      </c>
      <c r="B19" s="409" t="s">
        <v>32</v>
      </c>
      <c r="C19" s="410">
        <v>270</v>
      </c>
      <c r="D19" s="411">
        <v>4996.0199999999995</v>
      </c>
      <c r="E19" s="411">
        <v>8992.8359999999993</v>
      </c>
      <c r="F19" s="411">
        <v>13988.856</v>
      </c>
      <c r="G19" s="449">
        <v>0.62</v>
      </c>
      <c r="H19" s="454">
        <v>7351</v>
      </c>
      <c r="I19" s="451">
        <v>7361.4542336260529</v>
      </c>
      <c r="J19" s="454">
        <v>8328.7736018627184</v>
      </c>
      <c r="K19" s="454">
        <v>6353.1646377027191</v>
      </c>
    </row>
    <row r="20" spans="1:11" ht="36" customHeight="1" x14ac:dyDescent="0.25">
      <c r="A20" s="746"/>
      <c r="B20" s="418" t="s">
        <v>225</v>
      </c>
      <c r="C20" s="406">
        <v>270</v>
      </c>
      <c r="D20" s="419">
        <v>4996.0199999999995</v>
      </c>
      <c r="E20" s="419">
        <v>8992.8359999999993</v>
      </c>
      <c r="F20" s="419">
        <v>13988.856</v>
      </c>
      <c r="G20" s="440">
        <v>0.41</v>
      </c>
      <c r="H20" s="455">
        <v>6000</v>
      </c>
      <c r="I20" s="451">
        <v>6113.5043596876249</v>
      </c>
      <c r="J20" s="455">
        <v>6831.5818758769583</v>
      </c>
      <c r="K20" s="455">
        <v>5211.0100769969586</v>
      </c>
    </row>
    <row r="21" spans="1:11" ht="36" customHeight="1" x14ac:dyDescent="0.25">
      <c r="A21" s="746"/>
      <c r="B21" s="409" t="s">
        <v>226</v>
      </c>
      <c r="C21" s="410">
        <v>180</v>
      </c>
      <c r="D21" s="411">
        <v>4996.0199999999995</v>
      </c>
      <c r="E21" s="411">
        <v>5995.2240000000002</v>
      </c>
      <c r="F21" s="411">
        <v>10991.243999999999</v>
      </c>
      <c r="G21" s="449">
        <v>0.62</v>
      </c>
      <c r="H21" s="454">
        <v>6100</v>
      </c>
      <c r="I21" s="451">
        <v>6132.2677920971464</v>
      </c>
      <c r="J21" s="454">
        <v>6855.3468239084796</v>
      </c>
      <c r="K21" s="454">
        <v>5229.1395144684802</v>
      </c>
    </row>
    <row r="22" spans="1:11" ht="36" customHeight="1" x14ac:dyDescent="0.25">
      <c r="A22" s="746"/>
      <c r="B22" s="418" t="s">
        <v>227</v>
      </c>
      <c r="C22" s="406">
        <v>180</v>
      </c>
      <c r="D22" s="419">
        <v>4996.0199999999995</v>
      </c>
      <c r="E22" s="419">
        <v>5995.2240000000002</v>
      </c>
      <c r="F22" s="419">
        <v>10991.243999999999</v>
      </c>
      <c r="G22" s="440">
        <v>0.44</v>
      </c>
      <c r="H22" s="455">
        <v>5400</v>
      </c>
      <c r="I22" s="451">
        <v>5439.4491303997593</v>
      </c>
      <c r="J22" s="455">
        <v>5999.8086947737602</v>
      </c>
      <c r="K22" s="455">
        <v>5145.8113372057596</v>
      </c>
    </row>
    <row r="23" spans="1:11" ht="36" customHeight="1" x14ac:dyDescent="0.25">
      <c r="A23" s="746"/>
      <c r="B23" s="436" t="s">
        <v>228</v>
      </c>
      <c r="C23" s="433">
        <v>180</v>
      </c>
      <c r="D23" s="411">
        <v>4996.0199999999995</v>
      </c>
      <c r="E23" s="411">
        <v>5995.2240000000002</v>
      </c>
      <c r="F23" s="411">
        <v>10991.243999999999</v>
      </c>
      <c r="G23" s="442">
        <v>0.1</v>
      </c>
      <c r="H23" s="454">
        <v>3900</v>
      </c>
      <c r="I23" s="451">
        <v>4010.2498393203991</v>
      </c>
      <c r="J23" s="454">
        <v>4383.7922286303992</v>
      </c>
      <c r="K23" s="454">
        <v>3759.7237019103995</v>
      </c>
    </row>
    <row r="24" spans="1:11" ht="36" customHeight="1" x14ac:dyDescent="0.25">
      <c r="A24" s="746"/>
      <c r="B24" s="424" t="s">
        <v>199</v>
      </c>
      <c r="C24" s="437">
        <v>125</v>
      </c>
      <c r="D24" s="419">
        <v>3331</v>
      </c>
      <c r="E24" s="419">
        <v>4163</v>
      </c>
      <c r="F24" s="419">
        <v>7494</v>
      </c>
      <c r="G24" s="441">
        <v>0.5</v>
      </c>
      <c r="H24" s="455">
        <v>3800</v>
      </c>
      <c r="I24" s="451">
        <v>3807.3940876499987</v>
      </c>
      <c r="J24" s="455">
        <v>4154.4202739999992</v>
      </c>
      <c r="K24" s="455">
        <v>3562.9870739999997</v>
      </c>
    </row>
    <row r="25" spans="1:11" ht="36" customHeight="1" x14ac:dyDescent="0.25">
      <c r="A25" s="747" t="s">
        <v>173</v>
      </c>
      <c r="B25" s="748"/>
      <c r="C25" s="456">
        <v>125</v>
      </c>
      <c r="D25" s="411">
        <v>3330.68</v>
      </c>
      <c r="E25" s="411">
        <v>4163.3499999999995</v>
      </c>
      <c r="F25" s="411">
        <v>7494.0299999999988</v>
      </c>
      <c r="G25" s="441">
        <v>0.19</v>
      </c>
      <c r="H25" s="454">
        <v>3023</v>
      </c>
      <c r="I25" s="451">
        <v>2963.3045784789997</v>
      </c>
      <c r="J25" s="454">
        <v>3199.9260850539995</v>
      </c>
      <c r="K25" s="454">
        <v>2744.3755678539997</v>
      </c>
    </row>
    <row r="26" spans="1:11" ht="36" customHeight="1" x14ac:dyDescent="0.25">
      <c r="A26" s="739" t="s">
        <v>174</v>
      </c>
      <c r="B26" s="739"/>
      <c r="C26" s="433">
        <v>75</v>
      </c>
      <c r="D26" s="411">
        <v>2498.0099999999998</v>
      </c>
      <c r="E26" s="411">
        <v>2498</v>
      </c>
      <c r="F26" s="411">
        <v>4996.01</v>
      </c>
      <c r="G26" s="440">
        <v>0.63</v>
      </c>
      <c r="H26" s="455">
        <v>2822</v>
      </c>
      <c r="I26" s="451">
        <v>2891.0054536900002</v>
      </c>
      <c r="J26" s="455">
        <v>3118.1764110399999</v>
      </c>
      <c r="K26" s="455">
        <v>2674.2573390399998</v>
      </c>
    </row>
  </sheetData>
  <mergeCells count="6">
    <mergeCell ref="A11:A18"/>
    <mergeCell ref="A19:A24"/>
    <mergeCell ref="A25:B25"/>
    <mergeCell ref="A26:B26"/>
    <mergeCell ref="A1:B1"/>
    <mergeCell ref="A2:A1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="60" zoomScaleNormal="100" workbookViewId="0">
      <selection activeCell="S5" sqref="S5"/>
    </sheetView>
  </sheetViews>
  <sheetFormatPr defaultRowHeight="15" x14ac:dyDescent="0.25"/>
  <cols>
    <col min="1" max="1" width="23.140625" customWidth="1"/>
    <col min="2" max="2" width="89.42578125" customWidth="1"/>
    <col min="3" max="6" width="16.5703125" customWidth="1"/>
    <col min="7" max="7" width="16.5703125" style="443" customWidth="1"/>
    <col min="8" max="8" width="26.140625" customWidth="1"/>
    <col min="9" max="9" width="21.85546875" customWidth="1"/>
    <col min="10" max="11" width="16.5703125" customWidth="1"/>
  </cols>
  <sheetData>
    <row r="1" spans="1:11" ht="78.75" x14ac:dyDescent="0.25">
      <c r="A1" s="749" t="s">
        <v>2</v>
      </c>
      <c r="B1" s="749"/>
      <c r="C1" s="438" t="s">
        <v>3</v>
      </c>
      <c r="D1" s="438" t="s">
        <v>229</v>
      </c>
      <c r="E1" s="438" t="s">
        <v>253</v>
      </c>
      <c r="F1" s="438" t="s">
        <v>231</v>
      </c>
      <c r="G1" s="438" t="s">
        <v>37</v>
      </c>
      <c r="H1" s="439" t="s">
        <v>206</v>
      </c>
      <c r="I1" s="439" t="s">
        <v>280</v>
      </c>
      <c r="J1" s="438" t="s">
        <v>284</v>
      </c>
      <c r="K1" s="438" t="s">
        <v>285</v>
      </c>
    </row>
    <row r="2" spans="1:11" ht="41.25" customHeight="1" x14ac:dyDescent="0.25">
      <c r="A2" s="750" t="s">
        <v>11</v>
      </c>
      <c r="B2" s="418" t="s">
        <v>212</v>
      </c>
      <c r="C2" s="406">
        <v>550</v>
      </c>
      <c r="D2" s="419">
        <v>6661</v>
      </c>
      <c r="E2" s="419">
        <v>18318.739999999998</v>
      </c>
      <c r="F2" s="419">
        <v>24979.739999999998</v>
      </c>
      <c r="G2" s="448">
        <v>0.72</v>
      </c>
      <c r="H2" s="453">
        <v>12600</v>
      </c>
      <c r="I2" s="452">
        <v>12778.595357460268</v>
      </c>
      <c r="J2" s="453">
        <v>15229.662936393599</v>
      </c>
      <c r="K2" s="453">
        <v>11944.4286907936</v>
      </c>
    </row>
    <row r="3" spans="1:11" ht="41.25" customHeight="1" x14ac:dyDescent="0.25">
      <c r="A3" s="750"/>
      <c r="B3" s="409" t="s">
        <v>211</v>
      </c>
      <c r="C3" s="410">
        <v>550</v>
      </c>
      <c r="D3" s="411">
        <v>6661</v>
      </c>
      <c r="E3" s="411">
        <v>18318.739999999998</v>
      </c>
      <c r="F3" s="411">
        <v>24979.739999999998</v>
      </c>
      <c r="G3" s="449">
        <v>0.33</v>
      </c>
      <c r="H3" s="454">
        <v>8500</v>
      </c>
      <c r="I3" s="452">
        <v>8503.712574947067</v>
      </c>
      <c r="J3" s="454">
        <v>9958.1491041804002</v>
      </c>
      <c r="K3" s="454">
        <v>7669.5459082804</v>
      </c>
    </row>
    <row r="4" spans="1:11" ht="41.25" customHeight="1" x14ac:dyDescent="0.25">
      <c r="A4" s="750"/>
      <c r="B4" s="418" t="s">
        <v>213</v>
      </c>
      <c r="C4" s="406">
        <v>550</v>
      </c>
      <c r="D4" s="419">
        <v>6661</v>
      </c>
      <c r="E4" s="419">
        <v>18318.739999999998</v>
      </c>
      <c r="F4" s="419">
        <v>24979.739999999998</v>
      </c>
      <c r="G4" s="448">
        <v>0.2</v>
      </c>
      <c r="H4" s="453">
        <v>7066</v>
      </c>
      <c r="I4" s="452">
        <v>7078.7516474426657</v>
      </c>
      <c r="J4" s="453">
        <v>8186.4421087760011</v>
      </c>
      <c r="K4" s="453">
        <v>6244.5849807760005</v>
      </c>
    </row>
    <row r="5" spans="1:11" ht="41.25" customHeight="1" x14ac:dyDescent="0.25">
      <c r="A5" s="750"/>
      <c r="B5" s="409" t="s">
        <v>32</v>
      </c>
      <c r="C5" s="410">
        <v>400</v>
      </c>
      <c r="D5" s="411">
        <v>6661</v>
      </c>
      <c r="E5" s="411">
        <v>13322.72</v>
      </c>
      <c r="F5" s="411">
        <v>19983.72</v>
      </c>
      <c r="G5" s="449">
        <v>0.63</v>
      </c>
      <c r="H5" s="454">
        <v>9900</v>
      </c>
      <c r="I5" s="452">
        <v>9908.743978989869</v>
      </c>
      <c r="J5" s="454">
        <v>11690.7445595232</v>
      </c>
      <c r="K5" s="454">
        <v>9074.5773123231993</v>
      </c>
    </row>
    <row r="6" spans="1:11" ht="41.25" customHeight="1" x14ac:dyDescent="0.25">
      <c r="A6" s="750"/>
      <c r="B6" s="418" t="s">
        <v>233</v>
      </c>
      <c r="C6" s="406">
        <v>400</v>
      </c>
      <c r="D6" s="419">
        <v>6661</v>
      </c>
      <c r="E6" s="419">
        <v>13322.72</v>
      </c>
      <c r="F6" s="419">
        <v>19983.72</v>
      </c>
      <c r="G6" s="448">
        <v>0.51</v>
      </c>
      <c r="H6" s="453">
        <v>8900</v>
      </c>
      <c r="I6" s="452">
        <v>8952.1268528330656</v>
      </c>
      <c r="J6" s="453">
        <v>10511.105100566399</v>
      </c>
      <c r="K6" s="453">
        <v>8117.9601861664005</v>
      </c>
    </row>
    <row r="7" spans="1:11" ht="41.25" customHeight="1" x14ac:dyDescent="0.25">
      <c r="A7" s="750"/>
      <c r="B7" s="409" t="s">
        <v>234</v>
      </c>
      <c r="C7" s="410">
        <v>300</v>
      </c>
      <c r="D7" s="411">
        <v>6661</v>
      </c>
      <c r="E7" s="411">
        <v>9992.0399999999991</v>
      </c>
      <c r="F7" s="411">
        <v>16653.04</v>
      </c>
      <c r="G7" s="449">
        <v>0.43</v>
      </c>
      <c r="H7" s="454">
        <v>7400</v>
      </c>
      <c r="I7" s="452">
        <v>7457.4125932130655</v>
      </c>
      <c r="J7" s="454">
        <v>8667.9184459463995</v>
      </c>
      <c r="K7" s="454">
        <v>6623.2459265463995</v>
      </c>
    </row>
    <row r="8" spans="1:11" ht="41.25" customHeight="1" x14ac:dyDescent="0.25">
      <c r="A8" s="750"/>
      <c r="B8" s="418" t="s">
        <v>236</v>
      </c>
      <c r="C8" s="406">
        <v>300</v>
      </c>
      <c r="D8" s="419">
        <v>6661</v>
      </c>
      <c r="E8" s="419">
        <v>9992.0399999999991</v>
      </c>
      <c r="F8" s="419">
        <v>16653.04</v>
      </c>
      <c r="G8" s="448">
        <v>0.4</v>
      </c>
      <c r="H8" s="453">
        <v>7200</v>
      </c>
      <c r="I8" s="452">
        <v>7278.0468820586657</v>
      </c>
      <c r="J8" s="453">
        <v>8446.7360473919998</v>
      </c>
      <c r="K8" s="453">
        <v>6443.8802153919996</v>
      </c>
    </row>
    <row r="9" spans="1:11" ht="41.25" customHeight="1" x14ac:dyDescent="0.25">
      <c r="A9" s="750"/>
      <c r="B9" s="409" t="s">
        <v>235</v>
      </c>
      <c r="C9" s="410">
        <v>300</v>
      </c>
      <c r="D9" s="411">
        <v>6661</v>
      </c>
      <c r="E9" s="411">
        <v>9992.0399999999991</v>
      </c>
      <c r="F9" s="411">
        <v>16653.04</v>
      </c>
      <c r="G9" s="449">
        <v>0.33</v>
      </c>
      <c r="H9" s="454">
        <v>6800</v>
      </c>
      <c r="I9" s="452">
        <v>6859.5268893650682</v>
      </c>
      <c r="J9" s="454">
        <v>7899.0716378984016</v>
      </c>
      <c r="K9" s="454">
        <v>6025.3602226984012</v>
      </c>
    </row>
    <row r="10" spans="1:11" ht="41.25" customHeight="1" x14ac:dyDescent="0.25">
      <c r="A10" s="750"/>
      <c r="B10" s="418" t="s">
        <v>216</v>
      </c>
      <c r="C10" s="406">
        <v>300</v>
      </c>
      <c r="D10" s="419">
        <v>6661</v>
      </c>
      <c r="E10" s="419">
        <v>9992.0399999999991</v>
      </c>
      <c r="F10" s="419">
        <v>16653.04</v>
      </c>
      <c r="G10" s="448">
        <v>0.27</v>
      </c>
      <c r="H10" s="453">
        <v>6200</v>
      </c>
      <c r="I10" s="452">
        <v>6500.7954670562658</v>
      </c>
      <c r="J10" s="453">
        <v>7428.8290491895987</v>
      </c>
      <c r="K10" s="453">
        <v>5666.6288003895988</v>
      </c>
    </row>
    <row r="11" spans="1:11" ht="41.25" customHeight="1" x14ac:dyDescent="0.25">
      <c r="A11" s="750" t="s">
        <v>15</v>
      </c>
      <c r="B11" s="409" t="s">
        <v>215</v>
      </c>
      <c r="C11" s="410">
        <v>600</v>
      </c>
      <c r="D11" s="411">
        <v>4996.0199999999995</v>
      </c>
      <c r="E11" s="411">
        <v>19984.079999999998</v>
      </c>
      <c r="F11" s="411">
        <v>24980.1</v>
      </c>
      <c r="G11" s="449">
        <v>0.68</v>
      </c>
      <c r="H11" s="454">
        <v>11900</v>
      </c>
      <c r="I11" s="452">
        <v>11946.501506999464</v>
      </c>
      <c r="J11" s="454">
        <v>14203.577669132799</v>
      </c>
      <c r="K11" s="454">
        <v>11112.334840332798</v>
      </c>
    </row>
    <row r="12" spans="1:11" ht="41.25" customHeight="1" x14ac:dyDescent="0.25">
      <c r="A12" s="750"/>
      <c r="B12" s="418" t="s">
        <v>214</v>
      </c>
      <c r="C12" s="406">
        <v>600</v>
      </c>
      <c r="D12" s="419">
        <v>4996.0199999999995</v>
      </c>
      <c r="E12" s="419">
        <v>19984.079999999998</v>
      </c>
      <c r="F12" s="419">
        <v>24980.1</v>
      </c>
      <c r="G12" s="448">
        <v>0.35</v>
      </c>
      <c r="H12" s="453">
        <v>8000</v>
      </c>
      <c r="I12" s="452">
        <v>8000.4558616026688</v>
      </c>
      <c r="J12" s="453">
        <v>9337.5649009359986</v>
      </c>
      <c r="K12" s="453">
        <v>7166.2891949360001</v>
      </c>
    </row>
    <row r="13" spans="1:11" ht="41.25" customHeight="1" x14ac:dyDescent="0.25">
      <c r="A13" s="750"/>
      <c r="B13" s="409" t="s">
        <v>213</v>
      </c>
      <c r="C13" s="410">
        <v>600</v>
      </c>
      <c r="D13" s="411">
        <v>4996.0199999999995</v>
      </c>
      <c r="E13" s="411">
        <v>19984.079999999998</v>
      </c>
      <c r="F13" s="411">
        <v>24980.1</v>
      </c>
      <c r="G13" s="449">
        <v>0.25</v>
      </c>
      <c r="H13" s="454">
        <v>6804</v>
      </c>
      <c r="I13" s="452">
        <v>6804.684453906666</v>
      </c>
      <c r="J13" s="454">
        <v>7827.1815072399986</v>
      </c>
      <c r="K13" s="454">
        <v>5970.5177872399981</v>
      </c>
    </row>
    <row r="14" spans="1:11" ht="41.25" customHeight="1" x14ac:dyDescent="0.25">
      <c r="A14" s="750"/>
      <c r="B14" s="418" t="s">
        <v>32</v>
      </c>
      <c r="C14" s="406">
        <v>450</v>
      </c>
      <c r="D14" s="419">
        <v>4996.0199999999995</v>
      </c>
      <c r="E14" s="419">
        <v>14988.06</v>
      </c>
      <c r="F14" s="419">
        <v>19984.079999999998</v>
      </c>
      <c r="G14" s="448">
        <v>0.64</v>
      </c>
      <c r="H14" s="453">
        <v>9500</v>
      </c>
      <c r="I14" s="452">
        <v>9554.9586916074695</v>
      </c>
      <c r="J14" s="453">
        <v>11254.479021740801</v>
      </c>
      <c r="K14" s="453">
        <v>8720.7920249408016</v>
      </c>
    </row>
    <row r="15" spans="1:11" ht="41.25" customHeight="1" x14ac:dyDescent="0.25">
      <c r="A15" s="750"/>
      <c r="B15" s="409" t="s">
        <v>237</v>
      </c>
      <c r="C15" s="410">
        <v>450</v>
      </c>
      <c r="D15" s="411">
        <v>4996.0199999999995</v>
      </c>
      <c r="E15" s="411">
        <v>14988.06</v>
      </c>
      <c r="F15" s="411">
        <v>19984.079999999998</v>
      </c>
      <c r="G15" s="449">
        <v>0.51</v>
      </c>
      <c r="H15" s="454">
        <v>8300</v>
      </c>
      <c r="I15" s="452">
        <v>8389.0815691038661</v>
      </c>
      <c r="J15" s="454">
        <v>9816.7934311371991</v>
      </c>
      <c r="K15" s="454">
        <v>7554.9149024371991</v>
      </c>
    </row>
    <row r="16" spans="1:11" ht="41.25" customHeight="1" x14ac:dyDescent="0.25">
      <c r="A16" s="750"/>
      <c r="B16" s="418" t="s">
        <v>238</v>
      </c>
      <c r="C16" s="406">
        <v>300</v>
      </c>
      <c r="D16" s="419">
        <v>4996.0199999999995</v>
      </c>
      <c r="E16" s="419">
        <v>9992.0399999999991</v>
      </c>
      <c r="F16" s="419">
        <v>14988.059999999998</v>
      </c>
      <c r="G16" s="448">
        <v>0.59</v>
      </c>
      <c r="H16" s="453">
        <v>7300</v>
      </c>
      <c r="I16" s="452">
        <v>7342.7815873698664</v>
      </c>
      <c r="J16" s="453">
        <v>8526.5627729032003</v>
      </c>
      <c r="K16" s="453">
        <v>6508.6149207032004</v>
      </c>
    </row>
    <row r="17" spans="1:11" ht="41.25" customHeight="1" x14ac:dyDescent="0.25">
      <c r="A17" s="750"/>
      <c r="B17" s="409" t="s">
        <v>240</v>
      </c>
      <c r="C17" s="410">
        <v>300</v>
      </c>
      <c r="D17" s="411">
        <v>4996.0199999999995</v>
      </c>
      <c r="E17" s="411">
        <v>9992.0399999999991</v>
      </c>
      <c r="F17" s="411">
        <v>14988.059999999998</v>
      </c>
      <c r="G17" s="449">
        <v>0.55000000000000004</v>
      </c>
      <c r="H17" s="454">
        <v>7100</v>
      </c>
      <c r="I17" s="452">
        <v>7103.627305830666</v>
      </c>
      <c r="J17" s="454">
        <v>8219.0503311640005</v>
      </c>
      <c r="K17" s="454">
        <v>6269.460639164</v>
      </c>
    </row>
    <row r="18" spans="1:11" ht="41.25" customHeight="1" x14ac:dyDescent="0.25">
      <c r="A18" s="750"/>
      <c r="B18" s="418" t="s">
        <v>239</v>
      </c>
      <c r="C18" s="406">
        <v>300</v>
      </c>
      <c r="D18" s="419">
        <v>4996.0199999999995</v>
      </c>
      <c r="E18" s="419">
        <v>9992.0399999999991</v>
      </c>
      <c r="F18" s="419">
        <v>14988.059999999998</v>
      </c>
      <c r="G18" s="448">
        <v>0.52</v>
      </c>
      <c r="H18" s="453">
        <v>6900</v>
      </c>
      <c r="I18" s="452">
        <v>6924.2615946762644</v>
      </c>
      <c r="J18" s="453">
        <v>7983.9290368095999</v>
      </c>
      <c r="K18" s="453">
        <v>6090.0949280096002</v>
      </c>
    </row>
    <row r="19" spans="1:11" ht="41.25" customHeight="1" x14ac:dyDescent="0.25">
      <c r="A19" s="750"/>
      <c r="B19" s="409" t="s">
        <v>216</v>
      </c>
      <c r="C19" s="410">
        <v>300</v>
      </c>
      <c r="D19" s="411">
        <v>4996.0199999999995</v>
      </c>
      <c r="E19" s="411">
        <v>9992.0399999999991</v>
      </c>
      <c r="F19" s="411">
        <v>14988.059999999998</v>
      </c>
      <c r="G19" s="441">
        <v>0.19</v>
      </c>
      <c r="H19" s="454">
        <v>4900</v>
      </c>
      <c r="I19" s="452">
        <v>4876.7811827511987</v>
      </c>
      <c r="J19" s="454">
        <v>5397.5947989111992</v>
      </c>
      <c r="K19" s="454">
        <v>4629.2811827511996</v>
      </c>
    </row>
    <row r="20" spans="1:11" ht="41.25" customHeight="1" x14ac:dyDescent="0.45">
      <c r="A20" s="751" t="s">
        <v>172</v>
      </c>
      <c r="B20" s="418" t="s">
        <v>282</v>
      </c>
      <c r="C20" s="406">
        <v>125</v>
      </c>
      <c r="D20" s="419">
        <v>3330.68</v>
      </c>
      <c r="E20" s="419">
        <v>4163.3499999999995</v>
      </c>
      <c r="F20" s="419">
        <v>7494.0299999999988</v>
      </c>
      <c r="G20" s="440">
        <v>0.95</v>
      </c>
      <c r="H20" s="397">
        <v>5000</v>
      </c>
      <c r="I20" s="361">
        <v>5055.7404010649998</v>
      </c>
      <c r="J20" s="455">
        <v>5606.2403680650004</v>
      </c>
      <c r="K20" s="455">
        <v>4808.2404010649998</v>
      </c>
    </row>
    <row r="21" spans="1:11" ht="41.25" customHeight="1" x14ac:dyDescent="0.25">
      <c r="A21" s="751"/>
      <c r="B21" s="409" t="s">
        <v>281</v>
      </c>
      <c r="C21" s="410">
        <v>125</v>
      </c>
      <c r="D21" s="411">
        <v>3330.68</v>
      </c>
      <c r="E21" s="411">
        <v>4163.3499999999995</v>
      </c>
      <c r="F21" s="411">
        <v>7494.0299999999988</v>
      </c>
      <c r="G21" s="449">
        <v>0.73</v>
      </c>
      <c r="H21" s="454">
        <v>4500</v>
      </c>
      <c r="I21" s="452">
        <v>4526.521709532999</v>
      </c>
      <c r="J21" s="454">
        <v>5734.0135795650003</v>
      </c>
      <c r="K21" s="454">
        <v>4192.0327930709991</v>
      </c>
    </row>
    <row r="22" spans="1:11" ht="41.25" customHeight="1" x14ac:dyDescent="0.45">
      <c r="A22" s="751"/>
      <c r="B22" s="457" t="s">
        <v>241</v>
      </c>
      <c r="C22" s="428">
        <v>125</v>
      </c>
      <c r="D22" s="419">
        <v>3330.68</v>
      </c>
      <c r="E22" s="419">
        <v>4163.3499999999995</v>
      </c>
      <c r="F22" s="419">
        <v>7494.0299999999988</v>
      </c>
      <c r="G22" s="441">
        <v>0.52</v>
      </c>
      <c r="H22" s="397">
        <v>4000</v>
      </c>
      <c r="I22" s="361">
        <v>3910.4646218039993</v>
      </c>
      <c r="J22" s="455">
        <v>4270.8937490039989</v>
      </c>
      <c r="K22" s="455">
        <v>3662.9646218039993</v>
      </c>
    </row>
    <row r="23" spans="1:11" ht="41.25" customHeight="1" x14ac:dyDescent="0.45">
      <c r="A23" s="751"/>
      <c r="B23" s="424" t="s">
        <v>198</v>
      </c>
      <c r="C23" s="426">
        <v>125</v>
      </c>
      <c r="D23" s="411">
        <v>3330.68</v>
      </c>
      <c r="E23" s="411">
        <v>4163.3499999999995</v>
      </c>
      <c r="F23" s="411">
        <v>7494.0299999999988</v>
      </c>
      <c r="G23" s="441">
        <v>0.18</v>
      </c>
      <c r="H23" s="450">
        <v>3000</v>
      </c>
      <c r="I23" s="361">
        <v>2928.5236195109992</v>
      </c>
      <c r="J23" s="454">
        <v>3160.5987478859997</v>
      </c>
      <c r="K23" s="454">
        <v>2710.6437730859998</v>
      </c>
    </row>
    <row r="24" spans="1:11" ht="41.25" customHeight="1" x14ac:dyDescent="0.45">
      <c r="A24" s="740" t="s">
        <v>171</v>
      </c>
      <c r="B24" s="740"/>
      <c r="C24" s="428">
        <v>50</v>
      </c>
      <c r="D24" s="419">
        <v>1665.34</v>
      </c>
      <c r="E24" s="419">
        <v>1665.34</v>
      </c>
      <c r="F24" s="419">
        <v>3330.68</v>
      </c>
      <c r="G24" s="441">
        <v>0.54</v>
      </c>
      <c r="H24" s="397">
        <v>1795</v>
      </c>
      <c r="I24" s="361">
        <v>1777.3453070865335</v>
      </c>
      <c r="J24" s="455">
        <v>1873.6116390632003</v>
      </c>
      <c r="K24" s="455">
        <v>1644.5420033431999</v>
      </c>
    </row>
  </sheetData>
  <mergeCells count="5">
    <mergeCell ref="A1:B1"/>
    <mergeCell ref="A2:A10"/>
    <mergeCell ref="A11:A19"/>
    <mergeCell ref="A20:A23"/>
    <mergeCell ref="A24:B2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R50"/>
  <sheetViews>
    <sheetView zoomScaleNormal="100" workbookViewId="0">
      <selection activeCell="R19" sqref="R19"/>
    </sheetView>
  </sheetViews>
  <sheetFormatPr defaultColWidth="9.140625" defaultRowHeight="15" x14ac:dyDescent="0.25"/>
  <cols>
    <col min="1" max="1" width="15.42578125" style="6" customWidth="1"/>
    <col min="2" max="2" width="22.85546875" style="6" customWidth="1"/>
    <col min="3" max="3" width="9.5703125" style="64" hidden="1" customWidth="1"/>
    <col min="4" max="4" width="12.42578125" style="6" customWidth="1"/>
    <col min="5" max="5" width="12.140625" style="6" customWidth="1"/>
    <col min="6" max="6" width="12.28515625" style="6" customWidth="1"/>
    <col min="7" max="7" width="2.7109375" style="6" customWidth="1"/>
    <col min="8" max="8" width="10.85546875" style="6" hidden="1" customWidth="1"/>
    <col min="9" max="9" width="16.28515625" style="64" customWidth="1"/>
    <col min="10" max="10" width="2" style="6" hidden="1" customWidth="1"/>
    <col min="11" max="12" width="17.85546875" style="6" customWidth="1"/>
    <col min="13" max="13" width="14" style="6" customWidth="1"/>
    <col min="14" max="14" width="11.7109375" style="72" customWidth="1"/>
    <col min="15" max="15" width="11.85546875" style="6" bestFit="1" customWidth="1"/>
    <col min="16" max="16384" width="9.140625" style="6"/>
  </cols>
  <sheetData>
    <row r="1" spans="1:15" s="1" customFormat="1" ht="26.25" x14ac:dyDescent="0.25">
      <c r="A1" s="653" t="s">
        <v>0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N1" s="70"/>
    </row>
    <row r="2" spans="1:15" s="1" customFormat="1" ht="21" x14ac:dyDescent="0.25">
      <c r="A2" s="2"/>
      <c r="B2" s="2"/>
      <c r="C2" s="2"/>
      <c r="D2" s="2"/>
      <c r="E2" s="2"/>
      <c r="F2" s="2"/>
      <c r="N2" s="70"/>
    </row>
    <row r="3" spans="1:15" s="1" customFormat="1" ht="21" x14ac:dyDescent="0.25">
      <c r="A3" s="3" t="s">
        <v>1</v>
      </c>
      <c r="B3" s="4"/>
      <c r="C3" s="4"/>
      <c r="D3" s="4"/>
      <c r="E3" s="4"/>
      <c r="F3" s="4"/>
      <c r="K3" s="69"/>
      <c r="N3" s="70"/>
    </row>
    <row r="4" spans="1:15" ht="59.25" customHeight="1" x14ac:dyDescent="0.25">
      <c r="A4" s="654" t="s">
        <v>2</v>
      </c>
      <c r="B4" s="654"/>
      <c r="C4" s="5" t="s">
        <v>3</v>
      </c>
      <c r="D4" s="5" t="s">
        <v>4</v>
      </c>
      <c r="E4" s="5" t="s">
        <v>5</v>
      </c>
      <c r="F4" s="5" t="s">
        <v>6</v>
      </c>
      <c r="H4" s="7" t="str">
        <f>CONCATENATE("Toplam Ele Geçen         (",I3,")")</f>
        <v>Toplam Ele Geçen         ()</v>
      </c>
      <c r="I4" s="8" t="s">
        <v>7</v>
      </c>
      <c r="J4" s="9" t="s">
        <v>8</v>
      </c>
      <c r="K4" s="8" t="s">
        <v>9</v>
      </c>
      <c r="L4" s="8" t="s">
        <v>10</v>
      </c>
      <c r="M4" s="1"/>
      <c r="N4" s="71" t="s">
        <v>37</v>
      </c>
    </row>
    <row r="5" spans="1:15" ht="19.5" customHeight="1" x14ac:dyDescent="0.25">
      <c r="A5" s="67"/>
      <c r="B5" s="67"/>
      <c r="C5" s="5"/>
      <c r="D5" s="5"/>
      <c r="E5" s="5"/>
      <c r="F5" s="5"/>
      <c r="H5" s="7"/>
      <c r="I5" s="73">
        <v>1</v>
      </c>
      <c r="J5" s="73"/>
      <c r="K5" s="73">
        <v>0.88</v>
      </c>
      <c r="L5" s="73">
        <v>0.94</v>
      </c>
      <c r="M5" s="1"/>
    </row>
    <row r="6" spans="1:15" ht="19.5" customHeight="1" x14ac:dyDescent="0.25">
      <c r="A6" s="649" t="s">
        <v>11</v>
      </c>
      <c r="B6" s="10" t="s">
        <v>12</v>
      </c>
      <c r="C6" s="5">
        <v>550</v>
      </c>
      <c r="D6" s="11">
        <v>4289.8986277717058</v>
      </c>
      <c r="E6" s="11">
        <v>11941.655382347013</v>
      </c>
      <c r="F6" s="11">
        <f>D6+E6</f>
        <v>16231.554010118718</v>
      </c>
      <c r="H6" s="11">
        <f t="shared" ref="H6:H13" si="0">E6*$I$3+D6</f>
        <v>4289.8986277717058</v>
      </c>
      <c r="I6" s="11">
        <f>D6+E6*N6*$I$5</f>
        <v>13246.140164531964</v>
      </c>
      <c r="J6" s="12">
        <v>12634.834387306819</v>
      </c>
      <c r="K6" s="11">
        <f>D6+E6*$K$5*N6</f>
        <v>12171.391180120734</v>
      </c>
      <c r="L6" s="11">
        <f>D6+E6*$L$5*N6</f>
        <v>12708.76567232635</v>
      </c>
      <c r="M6" s="1"/>
      <c r="N6" s="73">
        <v>0.75</v>
      </c>
    </row>
    <row r="7" spans="1:15" ht="19.5" customHeight="1" x14ac:dyDescent="0.25">
      <c r="A7" s="649"/>
      <c r="B7" s="10" t="s">
        <v>13</v>
      </c>
      <c r="C7" s="5">
        <v>400</v>
      </c>
      <c r="D7" s="11">
        <v>4338.1942847146329</v>
      </c>
      <c r="E7" s="11">
        <v>8637.2648112671013</v>
      </c>
      <c r="F7" s="11">
        <f t="shared" ref="F7:F40" si="1">D7+E7</f>
        <v>12975.459095981734</v>
      </c>
      <c r="H7" s="11">
        <f t="shared" si="0"/>
        <v>4338.1942847146329</v>
      </c>
      <c r="I7" s="11">
        <f t="shared" ref="I7:I13" si="2">D7+E7*N7*$I$5</f>
        <v>10816.142893164959</v>
      </c>
      <c r="J7" s="13">
        <v>0.80444153102357818</v>
      </c>
      <c r="K7" s="11">
        <f t="shared" ref="K7:K13" si="3">D7+E7*$K$5*N7</f>
        <v>10038.789060150921</v>
      </c>
      <c r="L7" s="11">
        <f t="shared" ref="L7:L13" si="4">D7+E7*$L$5*N7</f>
        <v>10427.465976657939</v>
      </c>
      <c r="M7" s="1"/>
      <c r="N7" s="73">
        <v>0.75</v>
      </c>
    </row>
    <row r="8" spans="1:15" ht="19.5" customHeight="1" x14ac:dyDescent="0.25">
      <c r="A8" s="649"/>
      <c r="B8" s="10" t="s">
        <v>14</v>
      </c>
      <c r="C8" s="5">
        <v>300</v>
      </c>
      <c r="D8" s="11">
        <v>4386.489941657559</v>
      </c>
      <c r="E8" s="11">
        <v>6415.3452401871882</v>
      </c>
      <c r="F8" s="11">
        <f t="shared" si="1"/>
        <v>10801.835181844748</v>
      </c>
      <c r="H8" s="11">
        <f t="shared" si="0"/>
        <v>4386.489941657559</v>
      </c>
      <c r="I8" s="11">
        <f t="shared" si="2"/>
        <v>9197.9988717979504</v>
      </c>
      <c r="J8" s="13">
        <v>0.82552001591077517</v>
      </c>
      <c r="K8" s="11">
        <f t="shared" si="3"/>
        <v>8620.617800181104</v>
      </c>
      <c r="L8" s="11">
        <f t="shared" si="4"/>
        <v>8909.3083359895263</v>
      </c>
      <c r="M8" s="1"/>
      <c r="N8" s="73">
        <v>0.75</v>
      </c>
    </row>
    <row r="9" spans="1:15" ht="19.5" customHeight="1" x14ac:dyDescent="0.25">
      <c r="A9" s="649" t="s">
        <v>15</v>
      </c>
      <c r="B9" s="10" t="s">
        <v>12</v>
      </c>
      <c r="C9" s="5">
        <v>600</v>
      </c>
      <c r="D9" s="11">
        <v>3156.3831833272616</v>
      </c>
      <c r="E9" s="11">
        <v>13075.170826791458</v>
      </c>
      <c r="F9" s="11">
        <f t="shared" si="1"/>
        <v>16231.55401011872</v>
      </c>
      <c r="H9" s="11">
        <f t="shared" si="0"/>
        <v>3156.3831833272616</v>
      </c>
      <c r="I9" s="11">
        <f t="shared" si="2"/>
        <v>12962.761303420855</v>
      </c>
      <c r="J9" s="12">
        <v>10554.245925817819</v>
      </c>
      <c r="K9" s="11">
        <f t="shared" si="3"/>
        <v>11785.995929009623</v>
      </c>
      <c r="L9" s="11">
        <f t="shared" si="4"/>
        <v>12374.378616215239</v>
      </c>
      <c r="M9" s="1"/>
      <c r="N9" s="73">
        <v>0.75</v>
      </c>
    </row>
    <row r="10" spans="1:15" ht="19.5" customHeight="1" x14ac:dyDescent="0.25">
      <c r="A10" s="649"/>
      <c r="B10" s="10" t="s">
        <v>13</v>
      </c>
      <c r="C10" s="5">
        <v>450</v>
      </c>
      <c r="D10" s="11">
        <v>3191.9177291590768</v>
      </c>
      <c r="E10" s="11">
        <v>9783.5413668226574</v>
      </c>
      <c r="F10" s="11">
        <f t="shared" si="1"/>
        <v>12975.459095981734</v>
      </c>
      <c r="H10" s="11">
        <f t="shared" si="0"/>
        <v>3191.9177291590768</v>
      </c>
      <c r="I10" s="11">
        <f t="shared" si="2"/>
        <v>10529.573754276069</v>
      </c>
      <c r="J10" s="13">
        <v>0.77593304313815636</v>
      </c>
      <c r="K10" s="11">
        <f t="shared" si="3"/>
        <v>9649.0550312620308</v>
      </c>
      <c r="L10" s="11">
        <f t="shared" si="4"/>
        <v>10089.314392769049</v>
      </c>
      <c r="M10" s="1"/>
      <c r="N10" s="73">
        <v>0.75</v>
      </c>
    </row>
    <row r="11" spans="1:15" ht="19.5" customHeight="1" x14ac:dyDescent="0.25">
      <c r="A11" s="649"/>
      <c r="B11" s="10" t="s">
        <v>14</v>
      </c>
      <c r="C11" s="5">
        <v>300</v>
      </c>
      <c r="D11" s="11">
        <v>3251.1419722121027</v>
      </c>
      <c r="E11" s="11">
        <v>6462.434266874654</v>
      </c>
      <c r="F11" s="11">
        <f t="shared" si="1"/>
        <v>9713.5762390867567</v>
      </c>
      <c r="H11" s="11">
        <f t="shared" si="0"/>
        <v>3251.1419722121027</v>
      </c>
      <c r="I11" s="11">
        <f t="shared" si="2"/>
        <v>8097.9676723680932</v>
      </c>
      <c r="J11" s="13">
        <v>0.80229327200811607</v>
      </c>
      <c r="K11" s="11">
        <f t="shared" si="3"/>
        <v>7516.348588349374</v>
      </c>
      <c r="L11" s="11">
        <f t="shared" si="4"/>
        <v>7807.1581303587336</v>
      </c>
      <c r="M11" s="1"/>
      <c r="N11" s="73">
        <v>0.75</v>
      </c>
      <c r="O11" s="66"/>
    </row>
    <row r="12" spans="1:15" ht="19.5" customHeight="1" x14ac:dyDescent="0.25">
      <c r="A12" s="655" t="s">
        <v>16</v>
      </c>
      <c r="B12" s="655"/>
      <c r="C12" s="14">
        <v>125</v>
      </c>
      <c r="D12" s="11">
        <v>2262.1368823619159</v>
      </c>
      <c r="E12" s="11">
        <v>2700.4971714475387</v>
      </c>
      <c r="F12" s="11">
        <f>D12+E12</f>
        <v>4962.6340538094546</v>
      </c>
      <c r="H12" s="11">
        <f t="shared" si="0"/>
        <v>2262.1368823619159</v>
      </c>
      <c r="I12" s="11">
        <f t="shared" si="2"/>
        <v>3882.4351852304389</v>
      </c>
      <c r="J12" s="12">
        <v>3787.8516569335839</v>
      </c>
      <c r="K12" s="11">
        <f t="shared" si="3"/>
        <v>3687.9993888862164</v>
      </c>
      <c r="L12" s="11">
        <f t="shared" si="4"/>
        <v>3785.2172870583277</v>
      </c>
      <c r="M12" s="1"/>
      <c r="N12" s="73">
        <v>0.6</v>
      </c>
    </row>
    <row r="13" spans="1:15" ht="19.5" customHeight="1" x14ac:dyDescent="0.25">
      <c r="A13" s="655" t="s">
        <v>17</v>
      </c>
      <c r="B13" s="655"/>
      <c r="C13" s="14">
        <v>50</v>
      </c>
      <c r="D13" s="11">
        <v>1102.6869233085536</v>
      </c>
      <c r="E13" s="11">
        <v>1145.4037853333332</v>
      </c>
      <c r="F13" s="11">
        <f>D13+E13</f>
        <v>2248.0907086418865</v>
      </c>
      <c r="H13" s="11">
        <f t="shared" si="0"/>
        <v>1102.6869233085536</v>
      </c>
      <c r="I13" s="11">
        <f t="shared" si="2"/>
        <v>1789.9291945085533</v>
      </c>
      <c r="J13" s="13">
        <v>0.77835472016267027</v>
      </c>
      <c r="K13" s="11">
        <f t="shared" si="3"/>
        <v>1707.4601219645535</v>
      </c>
      <c r="L13" s="11">
        <f t="shared" si="4"/>
        <v>1748.6946582365536</v>
      </c>
      <c r="M13" s="1"/>
      <c r="N13" s="73">
        <v>0.6</v>
      </c>
    </row>
    <row r="14" spans="1:15" ht="15.75" x14ac:dyDescent="0.25">
      <c r="A14" s="15"/>
      <c r="B14" s="15"/>
      <c r="C14" s="16"/>
      <c r="D14" s="17"/>
      <c r="E14" s="17"/>
      <c r="F14" s="17"/>
      <c r="H14" s="17"/>
      <c r="I14" s="18"/>
      <c r="J14" s="19"/>
      <c r="K14" s="17"/>
      <c r="L14" s="17"/>
      <c r="M14" s="1"/>
    </row>
    <row r="15" spans="1:15" ht="15.75" x14ac:dyDescent="0.25">
      <c r="A15" s="20" t="s">
        <v>18</v>
      </c>
      <c r="B15" s="21"/>
      <c r="C15" s="21"/>
      <c r="D15" s="21"/>
      <c r="E15" s="22"/>
      <c r="F15" s="22"/>
      <c r="G15" s="21"/>
      <c r="H15" s="22"/>
      <c r="I15" s="23"/>
      <c r="J15" s="24"/>
      <c r="K15" s="22"/>
      <c r="L15" s="25"/>
      <c r="M15" s="1"/>
    </row>
    <row r="16" spans="1:15" ht="15.75" x14ac:dyDescent="0.25">
      <c r="A16" s="26"/>
      <c r="B16" s="27"/>
      <c r="C16" s="27"/>
      <c r="D16" s="27"/>
      <c r="E16" s="28"/>
      <c r="F16" s="28"/>
      <c r="G16" s="27"/>
      <c r="H16" s="28"/>
      <c r="I16" s="29"/>
      <c r="J16" s="30"/>
      <c r="K16" s="28"/>
      <c r="L16" s="31"/>
      <c r="M16" s="1"/>
    </row>
    <row r="17" spans="1:18" ht="15.75" x14ac:dyDescent="0.25">
      <c r="A17" s="32" t="s">
        <v>144</v>
      </c>
      <c r="B17" s="27"/>
      <c r="C17" s="27"/>
      <c r="D17" s="27"/>
      <c r="E17" s="28"/>
      <c r="F17" s="28"/>
      <c r="G17" s="27"/>
      <c r="H17" s="28"/>
      <c r="I17" s="29"/>
      <c r="J17" s="30"/>
      <c r="K17" s="28"/>
      <c r="L17" s="31"/>
      <c r="M17" s="1"/>
    </row>
    <row r="18" spans="1:18" ht="15.75" x14ac:dyDescent="0.25">
      <c r="A18" s="32" t="s">
        <v>20</v>
      </c>
      <c r="B18" s="27"/>
      <c r="C18" s="27"/>
      <c r="D18" s="27"/>
      <c r="E18" s="28"/>
      <c r="F18" s="28"/>
      <c r="G18" s="27"/>
      <c r="H18" s="28"/>
      <c r="I18" s="29"/>
      <c r="J18" s="30"/>
      <c r="K18" s="28"/>
      <c r="L18" s="31"/>
      <c r="M18" s="1"/>
    </row>
    <row r="19" spans="1:18" ht="15.75" x14ac:dyDescent="0.25">
      <c r="A19" s="32" t="s">
        <v>21</v>
      </c>
      <c r="B19" s="27"/>
      <c r="C19" s="27"/>
      <c r="D19" s="27"/>
      <c r="E19" s="28"/>
      <c r="F19" s="28"/>
      <c r="G19" s="27"/>
      <c r="H19" s="28"/>
      <c r="I19" s="29"/>
      <c r="J19" s="30"/>
      <c r="K19" s="28"/>
      <c r="L19" s="31"/>
      <c r="M19" s="1"/>
      <c r="R19" s="6" t="s">
        <v>38</v>
      </c>
    </row>
    <row r="20" spans="1:18" ht="15.75" x14ac:dyDescent="0.25">
      <c r="A20" s="26"/>
      <c r="B20" s="27"/>
      <c r="C20" s="27"/>
      <c r="D20" s="27"/>
      <c r="E20" s="28"/>
      <c r="F20" s="28"/>
      <c r="G20" s="27"/>
      <c r="H20" s="28"/>
      <c r="I20" s="29"/>
      <c r="J20" s="30"/>
      <c r="K20" s="28"/>
      <c r="L20" s="31"/>
      <c r="M20" s="1"/>
    </row>
    <row r="21" spans="1:18" ht="15.75" x14ac:dyDescent="0.25">
      <c r="A21" s="33" t="s">
        <v>22</v>
      </c>
      <c r="B21" s="27"/>
      <c r="C21" s="27"/>
      <c r="D21" s="27"/>
      <c r="E21" s="28"/>
      <c r="F21" s="28"/>
      <c r="G21" s="27"/>
      <c r="H21" s="28"/>
      <c r="I21" s="29"/>
      <c r="J21" s="30"/>
      <c r="K21" s="28"/>
      <c r="L21" s="31"/>
      <c r="M21" s="1"/>
    </row>
    <row r="22" spans="1:18" ht="15.75" x14ac:dyDescent="0.25">
      <c r="A22" s="34"/>
      <c r="B22" s="35"/>
      <c r="C22" s="35"/>
      <c r="D22" s="35"/>
      <c r="E22" s="36"/>
      <c r="F22" s="36"/>
      <c r="G22" s="35"/>
      <c r="H22" s="36"/>
      <c r="I22" s="37"/>
      <c r="J22" s="38"/>
      <c r="K22" s="36"/>
      <c r="L22" s="39"/>
      <c r="M22" s="1"/>
    </row>
    <row r="23" spans="1:18" ht="15.75" x14ac:dyDescent="0.25">
      <c r="A23" s="15"/>
      <c r="B23" s="15"/>
      <c r="C23" s="16"/>
      <c r="D23" s="17"/>
      <c r="E23" s="17"/>
      <c r="F23" s="17"/>
      <c r="H23" s="17"/>
      <c r="I23" s="6"/>
      <c r="M23" s="1"/>
    </row>
    <row r="24" spans="1:18" ht="7.5" customHeight="1" x14ac:dyDescent="0.25">
      <c r="A24" s="15"/>
      <c r="B24" s="15"/>
      <c r="C24" s="16"/>
      <c r="D24" s="17"/>
      <c r="E24" s="17"/>
      <c r="F24" s="17"/>
      <c r="H24" s="17"/>
      <c r="I24" s="6"/>
    </row>
    <row r="25" spans="1:18" ht="7.5" customHeight="1" x14ac:dyDescent="0.25">
      <c r="A25" s="15"/>
      <c r="B25" s="15"/>
      <c r="C25" s="16"/>
      <c r="D25" s="17"/>
      <c r="E25" s="17"/>
      <c r="F25" s="17"/>
      <c r="H25" s="17"/>
      <c r="I25" s="6"/>
    </row>
    <row r="26" spans="1:18" ht="7.5" customHeight="1" x14ac:dyDescent="0.25">
      <c r="A26" s="15"/>
      <c r="B26" s="15"/>
      <c r="C26" s="16"/>
      <c r="D26" s="17"/>
      <c r="E26" s="17"/>
      <c r="F26" s="17"/>
      <c r="H26" s="17"/>
      <c r="I26" s="6"/>
    </row>
    <row r="27" spans="1:18" ht="15.75" x14ac:dyDescent="0.25">
      <c r="A27" s="15"/>
      <c r="B27" s="15"/>
      <c r="C27" s="16"/>
      <c r="D27" s="17"/>
      <c r="E27" s="17"/>
      <c r="F27" s="17"/>
      <c r="H27" s="17"/>
      <c r="I27" s="1"/>
      <c r="J27" s="19"/>
      <c r="K27" s="17"/>
      <c r="L27" s="17"/>
    </row>
    <row r="28" spans="1:18" ht="15.75" x14ac:dyDescent="0.25">
      <c r="A28" s="40"/>
      <c r="B28" s="40"/>
      <c r="C28" s="41"/>
      <c r="D28" s="17"/>
      <c r="E28" s="17"/>
      <c r="F28" s="17"/>
      <c r="H28" s="656" t="str">
        <f>CONCATENATE("Toplam Ele Geçen         (",I3,")")</f>
        <v>Toplam Ele Geçen         ()</v>
      </c>
      <c r="I28" s="652" t="s">
        <v>23</v>
      </c>
      <c r="J28" s="658" t="s">
        <v>8</v>
      </c>
      <c r="K28" s="652" t="s">
        <v>24</v>
      </c>
      <c r="L28" s="652" t="s">
        <v>25</v>
      </c>
      <c r="M28" s="652" t="s">
        <v>26</v>
      </c>
    </row>
    <row r="29" spans="1:18" s="1" customFormat="1" ht="44.25" customHeight="1" x14ac:dyDescent="0.25">
      <c r="A29" s="3" t="s">
        <v>27</v>
      </c>
      <c r="B29" s="40"/>
      <c r="C29" s="41"/>
      <c r="D29" s="17"/>
      <c r="E29" s="17"/>
      <c r="F29" s="17"/>
      <c r="H29" s="657"/>
      <c r="I29" s="652"/>
      <c r="J29" s="658"/>
      <c r="K29" s="652"/>
      <c r="L29" s="652"/>
      <c r="M29" s="652"/>
      <c r="N29" s="71" t="s">
        <v>37</v>
      </c>
    </row>
    <row r="30" spans="1:18" s="1" customFormat="1" ht="21.75" customHeight="1" x14ac:dyDescent="0.25">
      <c r="A30" s="3"/>
      <c r="B30" s="40"/>
      <c r="C30" s="41"/>
      <c r="D30" s="17"/>
      <c r="E30" s="17"/>
      <c r="F30" s="17"/>
      <c r="H30" s="68"/>
      <c r="I30" s="73">
        <v>0.98</v>
      </c>
      <c r="J30" s="9"/>
      <c r="K30" s="73">
        <v>0.86</v>
      </c>
      <c r="L30" s="73">
        <v>0.94</v>
      </c>
      <c r="M30" s="73"/>
      <c r="N30" s="71"/>
    </row>
    <row r="31" spans="1:18" ht="31.5" x14ac:dyDescent="0.25">
      <c r="A31" s="649" t="s">
        <v>28</v>
      </c>
      <c r="B31" s="10" t="s">
        <v>12</v>
      </c>
      <c r="C31" s="5">
        <v>600</v>
      </c>
      <c r="D31" s="11">
        <v>3156.3831833272616</v>
      </c>
      <c r="E31" s="11">
        <v>13075.170826791458</v>
      </c>
      <c r="F31" s="11">
        <f t="shared" si="1"/>
        <v>16231.55401011872</v>
      </c>
      <c r="H31" s="11">
        <f t="shared" ref="H31:H40" si="5">E31*$I$3+D31</f>
        <v>3156.3831833272616</v>
      </c>
      <c r="I31" s="11">
        <f>D31+E31*$I$30*N31</f>
        <v>12766.633741018983</v>
      </c>
      <c r="J31" s="13">
        <v>0.76061786634068229</v>
      </c>
      <c r="K31" s="11">
        <f>D31+E31*$K$30*N31</f>
        <v>11589.868366607752</v>
      </c>
      <c r="L31" s="11">
        <f>D31+E31*$L$30*N31</f>
        <v>12374.378616215239</v>
      </c>
      <c r="M31" s="43"/>
      <c r="N31" s="73">
        <v>0.75</v>
      </c>
    </row>
    <row r="32" spans="1:18" ht="15.75" x14ac:dyDescent="0.25">
      <c r="A32" s="649"/>
      <c r="B32" s="10" t="s">
        <v>13</v>
      </c>
      <c r="C32" s="5">
        <v>450</v>
      </c>
      <c r="D32" s="11">
        <v>3191.9177291590768</v>
      </c>
      <c r="E32" s="11">
        <v>9783.5413668226574</v>
      </c>
      <c r="F32" s="11">
        <f t="shared" si="1"/>
        <v>12975.459095981734</v>
      </c>
      <c r="H32" s="11">
        <f t="shared" si="5"/>
        <v>3191.9177291590768</v>
      </c>
      <c r="I32" s="11">
        <f t="shared" ref="I32:I40" si="6">D32+E32*$I$30*N32</f>
        <v>10382.82063377373</v>
      </c>
      <c r="J32" s="13">
        <v>0.77593304313815636</v>
      </c>
      <c r="K32" s="11">
        <f t="shared" ref="K32:K40" si="7">D32+E32*$K$30*N32</f>
        <v>9502.3019107596901</v>
      </c>
      <c r="L32" s="11">
        <f t="shared" ref="L32:L40" si="8">D32+E32*$L$30*N32</f>
        <v>10089.314392769049</v>
      </c>
      <c r="M32" s="43"/>
      <c r="N32" s="73">
        <v>0.75</v>
      </c>
    </row>
    <row r="33" spans="1:14" ht="15.75" x14ac:dyDescent="0.25">
      <c r="A33" s="649"/>
      <c r="B33" s="10" t="s">
        <v>14</v>
      </c>
      <c r="C33" s="5">
        <v>300</v>
      </c>
      <c r="D33" s="11">
        <v>3251.1419722121027</v>
      </c>
      <c r="E33" s="11">
        <v>6462.434266874654</v>
      </c>
      <c r="F33" s="11">
        <f t="shared" si="1"/>
        <v>9713.5762390867567</v>
      </c>
      <c r="H33" s="11">
        <f t="shared" si="5"/>
        <v>3251.1419722121027</v>
      </c>
      <c r="I33" s="11">
        <f t="shared" si="6"/>
        <v>8001.0311583649736</v>
      </c>
      <c r="J33" s="13">
        <v>0.80229327200811607</v>
      </c>
      <c r="K33" s="11">
        <f t="shared" si="7"/>
        <v>7419.4120743462545</v>
      </c>
      <c r="L33" s="11">
        <f t="shared" si="8"/>
        <v>7807.1581303587336</v>
      </c>
      <c r="M33" s="43"/>
      <c r="N33" s="73">
        <v>0.75</v>
      </c>
    </row>
    <row r="34" spans="1:14" ht="31.5" x14ac:dyDescent="0.25">
      <c r="A34" s="649" t="s">
        <v>29</v>
      </c>
      <c r="B34" s="10" t="s">
        <v>12</v>
      </c>
      <c r="C34" s="5">
        <v>600</v>
      </c>
      <c r="D34" s="11">
        <v>3156.3831833272616</v>
      </c>
      <c r="E34" s="11">
        <v>13075.170826791458</v>
      </c>
      <c r="F34" s="11">
        <f t="shared" si="1"/>
        <v>16231.55401011872</v>
      </c>
      <c r="H34" s="11">
        <f t="shared" si="5"/>
        <v>3156.3831833272616</v>
      </c>
      <c r="I34" s="11">
        <f t="shared" si="6"/>
        <v>12766.633741018983</v>
      </c>
      <c r="J34" s="13">
        <v>0.76061786634068229</v>
      </c>
      <c r="K34" s="11">
        <f t="shared" si="7"/>
        <v>11589.868366607752</v>
      </c>
      <c r="L34" s="11">
        <f t="shared" si="8"/>
        <v>12374.378616215239</v>
      </c>
      <c r="M34" s="12">
        <v>13193</v>
      </c>
      <c r="N34" s="73">
        <v>0.75</v>
      </c>
    </row>
    <row r="35" spans="1:14" ht="15.75" x14ac:dyDescent="0.25">
      <c r="A35" s="649"/>
      <c r="B35" s="10" t="s">
        <v>13</v>
      </c>
      <c r="C35" s="5">
        <v>450</v>
      </c>
      <c r="D35" s="11">
        <v>3191.9177291590768</v>
      </c>
      <c r="E35" s="11">
        <v>9783.5413668226574</v>
      </c>
      <c r="F35" s="11">
        <f t="shared" si="1"/>
        <v>12975.459095981734</v>
      </c>
      <c r="H35" s="11">
        <f t="shared" si="5"/>
        <v>3191.9177291590768</v>
      </c>
      <c r="I35" s="11">
        <f t="shared" si="6"/>
        <v>10382.82063377373</v>
      </c>
      <c r="J35" s="13">
        <v>0.77593304313815636</v>
      </c>
      <c r="K35" s="11">
        <f t="shared" si="7"/>
        <v>9502.3019107596901</v>
      </c>
      <c r="L35" s="11">
        <f t="shared" si="8"/>
        <v>10089.314392769049</v>
      </c>
      <c r="M35" s="12">
        <v>9100</v>
      </c>
      <c r="N35" s="73">
        <v>0.75</v>
      </c>
    </row>
    <row r="36" spans="1:14" ht="15.75" x14ac:dyDescent="0.25">
      <c r="A36" s="649"/>
      <c r="B36" s="10" t="s">
        <v>30</v>
      </c>
      <c r="C36" s="5">
        <v>200</v>
      </c>
      <c r="D36" s="11">
        <v>3318.8268214155605</v>
      </c>
      <c r="E36" s="11">
        <v>4213.2704383626515</v>
      </c>
      <c r="F36" s="11">
        <f t="shared" si="1"/>
        <v>7532.097259778212</v>
      </c>
      <c r="H36" s="11">
        <f t="shared" si="5"/>
        <v>3318.8268214155605</v>
      </c>
      <c r="I36" s="11">
        <f t="shared" si="6"/>
        <v>6415.5805936121096</v>
      </c>
      <c r="J36" s="13">
        <v>0.83377058362463152</v>
      </c>
      <c r="K36" s="11">
        <f t="shared" si="7"/>
        <v>6036.3862541594708</v>
      </c>
      <c r="L36" s="11">
        <f t="shared" si="8"/>
        <v>6289.1824804612297</v>
      </c>
      <c r="M36" s="12">
        <v>6200</v>
      </c>
      <c r="N36" s="73">
        <v>0.75</v>
      </c>
    </row>
    <row r="37" spans="1:14" ht="15.75" x14ac:dyDescent="0.25">
      <c r="A37" s="650" t="s">
        <v>31</v>
      </c>
      <c r="B37" s="45" t="s">
        <v>32</v>
      </c>
      <c r="C37" s="46">
        <v>270</v>
      </c>
      <c r="D37" s="11">
        <v>3268.0631845129669</v>
      </c>
      <c r="E37" s="11">
        <v>5791.8962097466519</v>
      </c>
      <c r="F37" s="11">
        <f t="shared" si="1"/>
        <v>9059.9593942596184</v>
      </c>
      <c r="H37" s="11">
        <f t="shared" si="5"/>
        <v>3268.0631845129669</v>
      </c>
      <c r="I37" s="11">
        <f t="shared" si="6"/>
        <v>7525.106898676755</v>
      </c>
      <c r="J37" s="13">
        <v>0.81002389349681425</v>
      </c>
      <c r="K37" s="11">
        <f t="shared" si="7"/>
        <v>7003.836239799557</v>
      </c>
      <c r="L37" s="11">
        <f t="shared" si="8"/>
        <v>7351.3500123843569</v>
      </c>
      <c r="M37" s="12">
        <v>7700</v>
      </c>
      <c r="N37" s="73">
        <v>0.75</v>
      </c>
    </row>
    <row r="38" spans="1:14" ht="15.75" x14ac:dyDescent="0.25">
      <c r="A38" s="650"/>
      <c r="B38" s="45" t="s">
        <v>30</v>
      </c>
      <c r="C38" s="46">
        <v>180</v>
      </c>
      <c r="D38" s="11">
        <v>3337.2863257437766</v>
      </c>
      <c r="E38" s="11">
        <v>3757.3124487684686</v>
      </c>
      <c r="F38" s="11">
        <f t="shared" si="1"/>
        <v>7094.5987745122457</v>
      </c>
      <c r="H38" s="11">
        <f t="shared" si="5"/>
        <v>3337.2863257437766</v>
      </c>
      <c r="I38" s="11">
        <f t="shared" si="6"/>
        <v>6098.9109755886011</v>
      </c>
      <c r="J38" s="13">
        <v>0.84261840766074991</v>
      </c>
      <c r="K38" s="11">
        <f t="shared" si="7"/>
        <v>5760.7528551994392</v>
      </c>
      <c r="L38" s="11">
        <f t="shared" si="8"/>
        <v>5986.1916021255474</v>
      </c>
      <c r="M38" s="12">
        <v>6300</v>
      </c>
      <c r="N38" s="73">
        <v>0.75</v>
      </c>
    </row>
    <row r="39" spans="1:14" ht="15.75" x14ac:dyDescent="0.25">
      <c r="A39" s="651" t="s">
        <v>33</v>
      </c>
      <c r="B39" s="651"/>
      <c r="C39" s="47">
        <v>125</v>
      </c>
      <c r="D39" s="11">
        <v>2289.6963990901199</v>
      </c>
      <c r="E39" s="11">
        <v>2693.1311685185183</v>
      </c>
      <c r="F39" s="11">
        <f t="shared" si="1"/>
        <v>4982.8275676086378</v>
      </c>
      <c r="H39" s="11">
        <f t="shared" si="5"/>
        <v>2289.6963990901199</v>
      </c>
      <c r="I39" s="11">
        <f t="shared" si="6"/>
        <v>4005.2209534364165</v>
      </c>
      <c r="J39" s="13">
        <v>0.76341149468292135</v>
      </c>
      <c r="K39" s="11">
        <f t="shared" si="7"/>
        <v>3795.1567222919716</v>
      </c>
      <c r="L39" s="11">
        <f t="shared" si="8"/>
        <v>3935.1995430549341</v>
      </c>
      <c r="M39" s="12">
        <v>3700</v>
      </c>
      <c r="N39" s="73">
        <v>0.65</v>
      </c>
    </row>
    <row r="40" spans="1:14" ht="15.75" x14ac:dyDescent="0.25">
      <c r="A40" s="650" t="s">
        <v>34</v>
      </c>
      <c r="B40" s="650"/>
      <c r="C40" s="46">
        <v>75</v>
      </c>
      <c r="D40" s="11">
        <v>1724.2807846890123</v>
      </c>
      <c r="E40" s="11">
        <v>1668.1540113333333</v>
      </c>
      <c r="F40" s="11">
        <f t="shared" si="1"/>
        <v>3392.4347960223458</v>
      </c>
      <c r="H40" s="11">
        <f t="shared" si="5"/>
        <v>1724.2807846890123</v>
      </c>
      <c r="I40" s="11">
        <f t="shared" si="6"/>
        <v>2786.8948899083457</v>
      </c>
      <c r="J40" s="13">
        <v>0.78475323752816917</v>
      </c>
      <c r="K40" s="11">
        <f t="shared" si="7"/>
        <v>2656.7788770243455</v>
      </c>
      <c r="L40" s="11">
        <f t="shared" si="8"/>
        <v>2743.5228856136791</v>
      </c>
      <c r="M40" s="12">
        <v>2600</v>
      </c>
      <c r="N40" s="73">
        <v>0.65</v>
      </c>
    </row>
    <row r="43" spans="1:14" ht="15.75" x14ac:dyDescent="0.25">
      <c r="A43" s="48" t="s">
        <v>18</v>
      </c>
      <c r="B43" s="49"/>
      <c r="C43" s="49"/>
      <c r="D43" s="49"/>
      <c r="E43" s="50"/>
      <c r="F43" s="50"/>
      <c r="G43" s="49"/>
      <c r="H43" s="50"/>
      <c r="I43" s="51"/>
      <c r="J43" s="52"/>
      <c r="K43" s="50"/>
      <c r="L43" s="50"/>
      <c r="M43" s="53"/>
    </row>
    <row r="44" spans="1:14" ht="15.75" x14ac:dyDescent="0.25">
      <c r="A44" s="54"/>
      <c r="B44" s="27"/>
      <c r="C44" s="27"/>
      <c r="D44" s="27"/>
      <c r="E44" s="28"/>
      <c r="F44" s="28"/>
      <c r="G44" s="27"/>
      <c r="H44" s="28"/>
      <c r="I44" s="29"/>
      <c r="J44" s="30"/>
      <c r="K44" s="28"/>
      <c r="L44" s="28"/>
      <c r="M44" s="55"/>
    </row>
    <row r="45" spans="1:14" ht="15.75" x14ac:dyDescent="0.25">
      <c r="A45" s="56" t="s">
        <v>145</v>
      </c>
      <c r="B45" s="27"/>
      <c r="C45" s="27"/>
      <c r="D45" s="27"/>
      <c r="E45" s="28"/>
      <c r="F45" s="28"/>
      <c r="G45" s="27"/>
      <c r="H45" s="28"/>
      <c r="I45" s="29"/>
      <c r="J45" s="30"/>
      <c r="K45" s="28"/>
      <c r="L45" s="28"/>
      <c r="M45" s="55"/>
    </row>
    <row r="46" spans="1:14" ht="15.75" x14ac:dyDescent="0.25">
      <c r="A46" s="56" t="s">
        <v>35</v>
      </c>
      <c r="B46" s="27"/>
      <c r="C46" s="27"/>
      <c r="D46" s="27"/>
      <c r="E46" s="28"/>
      <c r="F46" s="28"/>
      <c r="G46" s="27"/>
      <c r="H46" s="28"/>
      <c r="I46" s="29"/>
      <c r="J46" s="30"/>
      <c r="K46" s="28"/>
      <c r="L46" s="28"/>
      <c r="M46" s="55"/>
    </row>
    <row r="47" spans="1:14" ht="15.75" x14ac:dyDescent="0.25">
      <c r="A47" s="56" t="s">
        <v>36</v>
      </c>
      <c r="B47" s="27"/>
      <c r="C47" s="27"/>
      <c r="D47" s="27"/>
      <c r="E47" s="28"/>
      <c r="F47" s="28"/>
      <c r="G47" s="27"/>
      <c r="H47" s="28"/>
      <c r="I47" s="29"/>
      <c r="J47" s="30"/>
      <c r="K47" s="28"/>
      <c r="L47" s="28"/>
      <c r="M47" s="55"/>
    </row>
    <row r="48" spans="1:14" ht="15.75" x14ac:dyDescent="0.25">
      <c r="A48" s="54"/>
      <c r="B48" s="27"/>
      <c r="C48" s="27"/>
      <c r="D48" s="27"/>
      <c r="E48" s="28"/>
      <c r="F48" s="28"/>
      <c r="G48" s="27"/>
      <c r="H48" s="28"/>
      <c r="I48" s="29"/>
      <c r="J48" s="30"/>
      <c r="K48" s="28"/>
      <c r="L48" s="28"/>
      <c r="M48" s="55"/>
    </row>
    <row r="49" spans="1:13" ht="15.75" x14ac:dyDescent="0.25">
      <c r="A49" s="57" t="s">
        <v>22</v>
      </c>
      <c r="B49" s="27"/>
      <c r="C49" s="27"/>
      <c r="D49" s="27"/>
      <c r="E49" s="28"/>
      <c r="F49" s="28"/>
      <c r="G49" s="27"/>
      <c r="H49" s="28"/>
      <c r="I49" s="29"/>
      <c r="J49" s="30"/>
      <c r="K49" s="28"/>
      <c r="L49" s="28"/>
      <c r="M49" s="55"/>
    </row>
    <row r="50" spans="1:13" ht="15.75" x14ac:dyDescent="0.25">
      <c r="A50" s="58"/>
      <c r="B50" s="59"/>
      <c r="C50" s="59"/>
      <c r="D50" s="59"/>
      <c r="E50" s="60"/>
      <c r="F50" s="60"/>
      <c r="G50" s="59"/>
      <c r="H50" s="60"/>
      <c r="I50" s="61"/>
      <c r="J50" s="62"/>
      <c r="K50" s="60"/>
      <c r="L50" s="60"/>
      <c r="M50" s="63"/>
    </row>
  </sheetData>
  <mergeCells count="17">
    <mergeCell ref="M28:M29"/>
    <mergeCell ref="A1:L1"/>
    <mergeCell ref="A4:B4"/>
    <mergeCell ref="A6:A8"/>
    <mergeCell ref="A9:A11"/>
    <mergeCell ref="A12:B12"/>
    <mergeCell ref="A13:B13"/>
    <mergeCell ref="H28:H29"/>
    <mergeCell ref="I28:I29"/>
    <mergeCell ref="J28:J29"/>
    <mergeCell ref="K28:K29"/>
    <mergeCell ref="L28:L29"/>
    <mergeCell ref="A31:A33"/>
    <mergeCell ref="A34:A36"/>
    <mergeCell ref="A37:A38"/>
    <mergeCell ref="A39:B39"/>
    <mergeCell ref="A40:B4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defaultSize="0" autoLine="0" r:id="rId5">
            <anchor moveWithCells="1">
              <from>
                <xdr:col>15</xdr:col>
                <xdr:colOff>0</xdr:colOff>
                <xdr:row>3</xdr:row>
                <xdr:rowOff>133350</xdr:rowOff>
              </from>
              <to>
                <xdr:col>18</xdr:col>
                <xdr:colOff>314325</xdr:colOff>
                <xdr:row>4</xdr:row>
                <xdr:rowOff>238125</xdr:rowOff>
              </to>
            </anchor>
          </controlPr>
        </control>
      </mc:Choice>
      <mc:Fallback>
        <control shapeId="2049" r:id="rId4" name="ComboBox1"/>
      </mc:Fallback>
    </mc:AlternateContent>
    <mc:AlternateContent xmlns:mc="http://schemas.openxmlformats.org/markup-compatibility/2006">
      <mc:Choice Requires="x14">
        <control shapeId="2050" r:id="rId6" name="Drop Down 2">
          <controlPr defaultSize="0" autoLine="0" autoPict="0">
            <anchor moveWithCells="1">
              <from>
                <xdr:col>15</xdr:col>
                <xdr:colOff>0</xdr:colOff>
                <xdr:row>18</xdr:row>
                <xdr:rowOff>47625</xdr:rowOff>
              </from>
              <to>
                <xdr:col>16</xdr:col>
                <xdr:colOff>590550</xdr:colOff>
                <xdr:row>19</xdr:row>
                <xdr:rowOff>47625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topLeftCell="A25" zoomScale="60" zoomScaleNormal="60" workbookViewId="0">
      <selection activeCell="F39" sqref="F39"/>
    </sheetView>
  </sheetViews>
  <sheetFormatPr defaultRowHeight="21" x14ac:dyDescent="0.35"/>
  <cols>
    <col min="1" max="1" width="6.7109375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3.5703125" customWidth="1"/>
    <col min="10" max="10" width="24.42578125" customWidth="1"/>
    <col min="11" max="11" width="22.85546875" customWidth="1"/>
    <col min="12" max="12" width="26" customWidth="1"/>
    <col min="13" max="13" width="13.28515625" style="130" customWidth="1"/>
    <col min="14" max="14" width="16.140625" style="130" bestFit="1" customWidth="1"/>
    <col min="15" max="15" width="14.140625" style="130" bestFit="1" customWidth="1"/>
    <col min="16" max="17" width="16.140625" style="130" bestFit="1" customWidth="1"/>
    <col min="18" max="18" width="14.140625" style="130" bestFit="1" customWidth="1"/>
    <col min="19" max="20" width="16.140625" style="130" bestFit="1" customWidth="1"/>
    <col min="21" max="21" width="14.140625" style="130" bestFit="1" customWidth="1"/>
    <col min="22" max="23" width="16.140625" style="130" bestFit="1" customWidth="1"/>
    <col min="24" max="24" width="14.140625" style="130" bestFit="1" customWidth="1"/>
    <col min="25" max="26" width="16.140625" style="130" bestFit="1" customWidth="1"/>
    <col min="27" max="27" width="14.140625" style="130" bestFit="1" customWidth="1"/>
    <col min="28" max="28" width="16.140625" style="130" bestFit="1" customWidth="1"/>
    <col min="29" max="29" width="17.7109375" style="130" bestFit="1" customWidth="1"/>
    <col min="30" max="30" width="14.140625" style="130" bestFit="1" customWidth="1"/>
    <col min="31" max="31" width="16.140625" style="130" bestFit="1" customWidth="1"/>
    <col min="32" max="32" width="17.7109375" style="130" bestFit="1" customWidth="1"/>
    <col min="33" max="33" width="14.140625" style="130" bestFit="1" customWidth="1"/>
    <col min="34" max="34" width="16.140625" style="130" bestFit="1" customWidth="1"/>
    <col min="35" max="35" width="17.7109375" style="130" bestFit="1" customWidth="1"/>
    <col min="36" max="36" width="18.7109375" style="130" customWidth="1"/>
    <col min="37" max="37" width="16.140625" style="130" bestFit="1" customWidth="1"/>
    <col min="38" max="38" width="17.7109375" style="130" bestFit="1" customWidth="1"/>
    <col min="39" max="39" width="14.140625" style="130" bestFit="1" customWidth="1"/>
    <col min="40" max="40" width="16.140625" style="130" bestFit="1" customWidth="1"/>
    <col min="41" max="41" width="17.7109375" style="130" bestFit="1" customWidth="1"/>
    <col min="42" max="42" width="14.140625" style="130" bestFit="1" customWidth="1"/>
    <col min="43" max="43" width="16.140625" style="130" bestFit="1" customWidth="1"/>
    <col min="44" max="44" width="17.7109375" style="130" bestFit="1" customWidth="1"/>
    <col min="45" max="45" width="14.140625" style="130" bestFit="1" customWidth="1"/>
    <col min="46" max="46" width="16.140625" style="130" bestFit="1" customWidth="1"/>
    <col min="47" max="47" width="17.7109375" style="130" bestFit="1" customWidth="1"/>
    <col min="48" max="48" width="14.140625" style="130" bestFit="1" customWidth="1"/>
    <col min="49" max="49" width="16.140625" style="130" bestFit="1" customWidth="1"/>
  </cols>
  <sheetData>
    <row r="1" spans="1:50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0" ht="24" hidden="1" thickBot="1" x14ac:dyDescent="0.4">
      <c r="A2" s="192"/>
      <c r="B2" s="2"/>
      <c r="C2" s="2"/>
      <c r="D2" s="2"/>
      <c r="E2" s="2"/>
      <c r="F2" s="2"/>
      <c r="K2" s="385"/>
      <c r="L2" s="385"/>
    </row>
    <row r="3" spans="1:50" ht="27" hidden="1" thickBot="1" x14ac:dyDescent="0.4">
      <c r="A3" s="236" t="s">
        <v>1</v>
      </c>
      <c r="B3" s="4"/>
      <c r="C3" s="4"/>
      <c r="D3" s="4"/>
      <c r="E3" s="4"/>
      <c r="F3" s="4"/>
    </row>
    <row r="4" spans="1:50" ht="65.25" customHeight="1" x14ac:dyDescent="0.25">
      <c r="A4" s="726" t="s">
        <v>2</v>
      </c>
      <c r="B4" s="726"/>
      <c r="C4" s="459" t="s">
        <v>3</v>
      </c>
      <c r="D4" s="459" t="s">
        <v>229</v>
      </c>
      <c r="E4" s="459" t="s">
        <v>253</v>
      </c>
      <c r="F4" s="459" t="s">
        <v>231</v>
      </c>
      <c r="G4" s="395" t="s">
        <v>244</v>
      </c>
      <c r="H4" s="395" t="s">
        <v>249</v>
      </c>
      <c r="I4" s="352" t="s">
        <v>37</v>
      </c>
      <c r="J4" s="364" t="s">
        <v>279</v>
      </c>
      <c r="K4" s="364" t="s">
        <v>280</v>
      </c>
      <c r="L4" s="389" t="s">
        <v>283</v>
      </c>
      <c r="M4" s="365" t="s">
        <v>245</v>
      </c>
      <c r="N4" s="365">
        <v>1</v>
      </c>
      <c r="O4" s="365" t="s">
        <v>255</v>
      </c>
      <c r="P4" s="365" t="s">
        <v>267</v>
      </c>
      <c r="Q4" s="365">
        <v>2</v>
      </c>
      <c r="R4" s="365" t="s">
        <v>256</v>
      </c>
      <c r="S4" s="365" t="s">
        <v>268</v>
      </c>
      <c r="T4" s="365">
        <v>3</v>
      </c>
      <c r="U4" s="365" t="s">
        <v>257</v>
      </c>
      <c r="V4" s="365" t="s">
        <v>278</v>
      </c>
      <c r="W4" s="365">
        <v>4</v>
      </c>
      <c r="X4" s="365" t="s">
        <v>258</v>
      </c>
      <c r="Y4" s="365" t="s">
        <v>277</v>
      </c>
      <c r="Z4" s="365">
        <v>5</v>
      </c>
      <c r="AA4" s="365" t="s">
        <v>259</v>
      </c>
      <c r="AB4" s="365" t="s">
        <v>276</v>
      </c>
      <c r="AC4" s="365">
        <v>6</v>
      </c>
      <c r="AD4" s="365" t="s">
        <v>260</v>
      </c>
      <c r="AE4" s="365" t="s">
        <v>275</v>
      </c>
      <c r="AF4" s="365">
        <v>7</v>
      </c>
      <c r="AG4" s="365" t="s">
        <v>261</v>
      </c>
      <c r="AH4" s="365" t="s">
        <v>274</v>
      </c>
      <c r="AI4" s="365">
        <v>8</v>
      </c>
      <c r="AJ4" s="365" t="s">
        <v>262</v>
      </c>
      <c r="AK4" s="365" t="s">
        <v>273</v>
      </c>
      <c r="AL4" s="365">
        <v>9</v>
      </c>
      <c r="AM4" s="365" t="s">
        <v>263</v>
      </c>
      <c r="AN4" s="365" t="s">
        <v>272</v>
      </c>
      <c r="AO4" s="365">
        <v>10</v>
      </c>
      <c r="AP4" s="365" t="s">
        <v>264</v>
      </c>
      <c r="AQ4" s="365" t="s">
        <v>271</v>
      </c>
      <c r="AR4" s="365">
        <v>11</v>
      </c>
      <c r="AS4" s="365" t="s">
        <v>265</v>
      </c>
      <c r="AT4" s="365" t="s">
        <v>270</v>
      </c>
      <c r="AU4" s="365">
        <v>12</v>
      </c>
      <c r="AV4" s="366" t="s">
        <v>266</v>
      </c>
      <c r="AW4" s="366" t="s">
        <v>269</v>
      </c>
    </row>
    <row r="5" spans="1:50" s="233" customFormat="1" ht="33.75" customHeight="1" x14ac:dyDescent="0.45">
      <c r="A5" s="229"/>
      <c r="B5" s="346"/>
      <c r="C5" s="231"/>
      <c r="D5" s="231"/>
      <c r="E5" s="231"/>
      <c r="F5" s="231"/>
      <c r="H5" s="357">
        <v>0.93</v>
      </c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1"/>
    </row>
    <row r="6" spans="1:50" s="233" customFormat="1" ht="30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18227.499739999999</v>
      </c>
      <c r="I6" s="463">
        <v>0.7</v>
      </c>
      <c r="J6" s="362">
        <v>12600</v>
      </c>
      <c r="K6" s="361">
        <f>((P6+S6+V6+Y6+AB6+AE6+AH6+AK6+AN6+AQ6+AT6+AW6)/12)+60</f>
        <v>12559.370599382668</v>
      </c>
      <c r="L6" s="390">
        <f t="shared" ref="L6:L28" si="0">K6/0.93</f>
        <v>13504.699569228675</v>
      </c>
      <c r="M6" s="372">
        <f>(H6+G6)*0.0066</f>
        <v>122.67089828399999</v>
      </c>
      <c r="N6" s="373">
        <f>$H6*N$4</f>
        <v>18227.499739999999</v>
      </c>
      <c r="O6" s="374">
        <f>(N6-10000)*0.2+10000*0.15</f>
        <v>3145.4999479999997</v>
      </c>
      <c r="P6" s="373">
        <f>H6-M6-O6</f>
        <v>14959.328893716</v>
      </c>
      <c r="Q6" s="373">
        <f>$H6*2</f>
        <v>36454.999479999999</v>
      </c>
      <c r="R6" s="376">
        <f>(Q6-25000)*0.27+4500-O6</f>
        <v>4447.3499116000003</v>
      </c>
      <c r="S6" s="373">
        <f>H6-M6-R6</f>
        <v>13657.478930116</v>
      </c>
      <c r="T6" s="373">
        <f t="shared" ref="T6:T28" si="1">H6*3</f>
        <v>54682.499219999998</v>
      </c>
      <c r="U6" s="376">
        <f>N6*0.27</f>
        <v>4921.4249298000004</v>
      </c>
      <c r="V6" s="373">
        <f>H6-M6-U6</f>
        <v>13183.403911916001</v>
      </c>
      <c r="W6" s="373">
        <f t="shared" ref="W6:W28" si="2">H6*4</f>
        <v>72909.998959999997</v>
      </c>
      <c r="X6" s="376">
        <f t="shared" ref="X6:X22" si="3">H6*0.27</f>
        <v>4921.4249298000004</v>
      </c>
      <c r="Y6" s="373">
        <f>H6-M6-X6</f>
        <v>13183.403911916001</v>
      </c>
      <c r="Z6" s="373">
        <f t="shared" ref="Z6:Z28" si="4">H6*5</f>
        <v>91137.498699999996</v>
      </c>
      <c r="AA6" s="377">
        <f>(Z6-88000)*0.35+(88000-W6)*0.27</f>
        <v>5172.4248257999998</v>
      </c>
      <c r="AB6" s="373">
        <f>H6-M6-AA6</f>
        <v>12932.404015915999</v>
      </c>
      <c r="AC6" s="373">
        <f t="shared" ref="AC6:AC28" si="5">H6*6</f>
        <v>109364.99844</v>
      </c>
      <c r="AD6" s="377">
        <f>$H$6*0.35</f>
        <v>6379.6249089999992</v>
      </c>
      <c r="AE6" s="373">
        <f>H6-M6-AD6</f>
        <v>11725.203932716002</v>
      </c>
      <c r="AF6" s="373">
        <f t="shared" ref="AF6:AF28" si="6">H6*7</f>
        <v>127592.49818</v>
      </c>
      <c r="AG6" s="377">
        <f>$H$6*0.35</f>
        <v>6379.6249089999992</v>
      </c>
      <c r="AH6" s="373">
        <f>H6-M6-AG6</f>
        <v>11725.203932716002</v>
      </c>
      <c r="AI6" s="373">
        <f t="shared" ref="AI6:AI28" si="7">H6*8</f>
        <v>145819.99791999999</v>
      </c>
      <c r="AJ6" s="377">
        <f>$H$6*0.35</f>
        <v>6379.6249089999992</v>
      </c>
      <c r="AK6" s="373">
        <f>H6-M6-AJ6</f>
        <v>11725.203932716002</v>
      </c>
      <c r="AL6" s="373">
        <f t="shared" ref="AL6:AL28" si="8">H6*9</f>
        <v>164047.49765999999</v>
      </c>
      <c r="AM6" s="377">
        <f>$H$6*0.35</f>
        <v>6379.6249089999992</v>
      </c>
      <c r="AN6" s="373">
        <f>H6-M6-AM6</f>
        <v>11725.203932716002</v>
      </c>
      <c r="AO6" s="373">
        <f t="shared" ref="AO6:AO28" si="9">H6*10</f>
        <v>182274.99739999999</v>
      </c>
      <c r="AP6" s="377">
        <f>$H$6*0.35</f>
        <v>6379.6249089999992</v>
      </c>
      <c r="AQ6" s="373">
        <f>H6-M6-AP6</f>
        <v>11725.203932716002</v>
      </c>
      <c r="AR6" s="373">
        <f t="shared" ref="AR6:AR28" si="10">H6*11</f>
        <v>200502.49713999999</v>
      </c>
      <c r="AS6" s="377">
        <f>$H$6*0.35</f>
        <v>6379.6249089999992</v>
      </c>
      <c r="AT6" s="373">
        <f>AQ6</f>
        <v>11725.203932716002</v>
      </c>
      <c r="AU6" s="373">
        <f t="shared" ref="AU6:AU28" si="11">H6*12</f>
        <v>218729.99687999999</v>
      </c>
      <c r="AV6" s="377">
        <f>$H$6*0.35</f>
        <v>6379.6249089999992</v>
      </c>
      <c r="AW6" s="373">
        <f>H6-M6-AV6</f>
        <v>11725.203932716002</v>
      </c>
      <c r="AX6" s="371"/>
    </row>
    <row r="7" spans="1:50" s="233" customFormat="1" ht="30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11924.021305999999</v>
      </c>
      <c r="I7" s="363">
        <v>0.33</v>
      </c>
      <c r="J7" s="362">
        <v>8500</v>
      </c>
      <c r="K7" s="361">
        <f t="shared" ref="K7:K54" si="12">((P7+S7+V7+Y7+AB7+AE7+AH7+AK7+AN7+AQ7+AT7+AW7)/12)+60</f>
        <v>8503.712574947067</v>
      </c>
      <c r="L7" s="390">
        <f t="shared" si="0"/>
        <v>9143.7769623086733</v>
      </c>
      <c r="M7" s="372">
        <f t="shared" ref="M7:M54" si="13">(H7+G7)*0.0066</f>
        <v>81.067940619599995</v>
      </c>
      <c r="N7" s="373">
        <f t="shared" ref="N7:N54" si="14">$H7*N$4</f>
        <v>11924.021305999999</v>
      </c>
      <c r="O7" s="374">
        <f>(N7-10000)*0.2+1500</f>
        <v>1884.8042611999997</v>
      </c>
      <c r="P7" s="373">
        <f>H7-M7-O7</f>
        <v>9958.1491041804002</v>
      </c>
      <c r="Q7" s="373">
        <f t="shared" ref="Q7:Q54" si="15">$H7*2</f>
        <v>23848.042611999997</v>
      </c>
      <c r="R7" s="374">
        <f>H7*0.2</f>
        <v>2384.8042611999999</v>
      </c>
      <c r="S7" s="373">
        <f>H7-M7-R7</f>
        <v>9458.1491041804002</v>
      </c>
      <c r="T7" s="373">
        <f t="shared" si="1"/>
        <v>35772.063918</v>
      </c>
      <c r="U7" s="376">
        <f>(25000-Q7)*0.2+(T7-25000)*0.27</f>
        <v>3138.8487354600006</v>
      </c>
      <c r="V7" s="373">
        <f>H7-M7-U7</f>
        <v>8704.104629920399</v>
      </c>
      <c r="W7" s="373">
        <f t="shared" si="2"/>
        <v>47696.085223999995</v>
      </c>
      <c r="X7" s="376">
        <f t="shared" si="3"/>
        <v>3219.4857526199999</v>
      </c>
      <c r="Y7" s="373">
        <f>H7-M7-X7</f>
        <v>8623.4676127603998</v>
      </c>
      <c r="Z7" s="373">
        <f t="shared" si="4"/>
        <v>59620.10652999999</v>
      </c>
      <c r="AA7" s="376">
        <f t="shared" ref="AA7:AA24" si="16">H7*0.27</f>
        <v>3219.4857526199999</v>
      </c>
      <c r="AB7" s="373">
        <f>H7-M7-AA7</f>
        <v>8623.4676127603998</v>
      </c>
      <c r="AC7" s="373">
        <f t="shared" si="5"/>
        <v>71544.127836</v>
      </c>
      <c r="AD7" s="376">
        <f t="shared" ref="AD7:AD14" si="17">H7*0.27</f>
        <v>3219.4857526199999</v>
      </c>
      <c r="AE7" s="373">
        <f>H7-M7-AD7</f>
        <v>8623.4676127603998</v>
      </c>
      <c r="AF7" s="373">
        <f t="shared" si="6"/>
        <v>83468.149141999995</v>
      </c>
      <c r="AG7" s="376">
        <f>H7*0.27</f>
        <v>3219.4857526199999</v>
      </c>
      <c r="AH7" s="373">
        <f>H7-M7-AG7</f>
        <v>8623.4676127603998</v>
      </c>
      <c r="AI7" s="373">
        <f t="shared" si="7"/>
        <v>95392.17044799999</v>
      </c>
      <c r="AJ7" s="377">
        <f>(AI7-88000)*0.35+(88000-AF7)*0.27</f>
        <v>3810.8593884599977</v>
      </c>
      <c r="AK7" s="373">
        <f>H7-M7-AJ7</f>
        <v>8032.0939769204015</v>
      </c>
      <c r="AL7" s="373">
        <f t="shared" si="8"/>
        <v>107316.19175399998</v>
      </c>
      <c r="AM7" s="377">
        <f>H7*0.35</f>
        <v>4173.4074570999992</v>
      </c>
      <c r="AN7" s="373">
        <f>$H$7-$M$7-AM7</f>
        <v>7669.5459082804</v>
      </c>
      <c r="AO7" s="373">
        <f t="shared" si="9"/>
        <v>119240.21305999998</v>
      </c>
      <c r="AP7" s="377">
        <f t="shared" ref="AP7:AP12" si="18">H7*0.35</f>
        <v>4173.4074570999992</v>
      </c>
      <c r="AQ7" s="373">
        <f>$H$7-$M$7-AP7</f>
        <v>7669.5459082804</v>
      </c>
      <c r="AR7" s="373">
        <f t="shared" si="10"/>
        <v>131164.23436599999</v>
      </c>
      <c r="AS7" s="377">
        <f t="shared" ref="AS7:AS22" si="19">H7*0.35</f>
        <v>4173.4074570999992</v>
      </c>
      <c r="AT7" s="373">
        <f>$H$7-$M$7-AS7</f>
        <v>7669.5459082804</v>
      </c>
      <c r="AU7" s="373">
        <f t="shared" si="11"/>
        <v>143088.255672</v>
      </c>
      <c r="AV7" s="377">
        <f t="shared" ref="AV7" si="20">AS7</f>
        <v>4173.4074570999992</v>
      </c>
      <c r="AW7" s="373">
        <f>$H$7-$M$7-AV7</f>
        <v>7669.5459082804</v>
      </c>
      <c r="AX7" s="371"/>
    </row>
    <row r="8" spans="1:50" s="233" customFormat="1" ht="30" customHeight="1" x14ac:dyDescent="0.45">
      <c r="A8" s="728"/>
      <c r="B8" s="458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21">D8+E8*$H$5*$I8-G8</f>
        <v>9709.2856400000001</v>
      </c>
      <c r="I8" s="363">
        <v>0.2</v>
      </c>
      <c r="J8" s="362">
        <v>7066</v>
      </c>
      <c r="K8" s="361">
        <f t="shared" si="12"/>
        <v>7078.7516474426657</v>
      </c>
      <c r="L8" s="390">
        <f t="shared" si="0"/>
        <v>7611.560911228672</v>
      </c>
      <c r="M8" s="372">
        <f t="shared" si="13"/>
        <v>66.450685223999997</v>
      </c>
      <c r="N8" s="373">
        <f t="shared" si="14"/>
        <v>9709.2856400000001</v>
      </c>
      <c r="O8" s="378">
        <f>H8*0.15</f>
        <v>1456.392846</v>
      </c>
      <c r="P8" s="373">
        <f>$H$8-$M$8-O8</f>
        <v>8186.4421087760011</v>
      </c>
      <c r="Q8" s="373">
        <f t="shared" si="15"/>
        <v>19418.57128</v>
      </c>
      <c r="R8" s="374">
        <f t="shared" ref="R8" si="22">(Q8-10000)*0.2+(10000-N8)*0.15</f>
        <v>1927.3214100000002</v>
      </c>
      <c r="S8" s="373">
        <f>$H$8-$M$8-R8</f>
        <v>7715.5135447760003</v>
      </c>
      <c r="T8" s="373">
        <f t="shared" si="1"/>
        <v>29127.856919999998</v>
      </c>
      <c r="U8" s="376">
        <f>(T8-25000)*0.27+(25000-Q8)*0.2</f>
        <v>2230.8071123999998</v>
      </c>
      <c r="V8" s="373">
        <f>$H$8-$M$8-U8</f>
        <v>7412.027842376001</v>
      </c>
      <c r="W8" s="373">
        <f t="shared" si="2"/>
        <v>38837.14256</v>
      </c>
      <c r="X8" s="376">
        <f t="shared" si="3"/>
        <v>2621.5071228000002</v>
      </c>
      <c r="Y8" s="373">
        <f>$H$8-$M$8-X8</f>
        <v>7021.3278319760011</v>
      </c>
      <c r="Z8" s="373">
        <f t="shared" si="4"/>
        <v>48546.428200000002</v>
      </c>
      <c r="AA8" s="376">
        <f t="shared" si="16"/>
        <v>2621.5071228000002</v>
      </c>
      <c r="AB8" s="373">
        <f>$H$8-$M$8-AA8</f>
        <v>7021.3278319760011</v>
      </c>
      <c r="AC8" s="373">
        <f t="shared" si="5"/>
        <v>58255.713839999997</v>
      </c>
      <c r="AD8" s="376">
        <f t="shared" si="17"/>
        <v>2621.5071228000002</v>
      </c>
      <c r="AE8" s="373">
        <f>$H$8-$M$8-AD8</f>
        <v>7021.3278319760011</v>
      </c>
      <c r="AF8" s="373">
        <f t="shared" si="6"/>
        <v>67964.999479999999</v>
      </c>
      <c r="AG8" s="376">
        <f>H8*0.27</f>
        <v>2621.5071228000002</v>
      </c>
      <c r="AH8" s="373">
        <f>$H$8-$M$8-AG8</f>
        <v>7021.3278319760011</v>
      </c>
      <c r="AI8" s="373">
        <f t="shared" si="7"/>
        <v>77674.28512</v>
      </c>
      <c r="AJ8" s="376">
        <f>H8*0.27</f>
        <v>2621.5071228000002</v>
      </c>
      <c r="AK8" s="373">
        <f>$H$8-$M$8-AJ8</f>
        <v>7021.3278319760011</v>
      </c>
      <c r="AL8" s="373">
        <f t="shared" si="8"/>
        <v>87383.570760000002</v>
      </c>
      <c r="AM8" s="377">
        <f>(AL8-88000)*0.35+(88000-AI8)*0.27</f>
        <v>2572.1927836000009</v>
      </c>
      <c r="AN8" s="373">
        <f>$H$8-$M$8-AM8</f>
        <v>7070.6421711759995</v>
      </c>
      <c r="AO8" s="373">
        <f t="shared" si="9"/>
        <v>97092.856400000004</v>
      </c>
      <c r="AP8" s="377">
        <f t="shared" si="18"/>
        <v>3398.2499739999998</v>
      </c>
      <c r="AQ8" s="373">
        <f>$H$8-$M$8-AP8</f>
        <v>6244.5849807760005</v>
      </c>
      <c r="AR8" s="373">
        <f t="shared" si="10"/>
        <v>106802.14204000001</v>
      </c>
      <c r="AS8" s="377">
        <f t="shared" si="19"/>
        <v>3398.2499739999998</v>
      </c>
      <c r="AT8" s="373">
        <f>$H$8-$M$8-AS8</f>
        <v>6244.5849807760005</v>
      </c>
      <c r="AU8" s="373">
        <f t="shared" si="11"/>
        <v>116511.42767999999</v>
      </c>
      <c r="AV8" s="377">
        <f t="shared" ref="AV8:AV22" si="23">H8*0.35</f>
        <v>3398.2499739999998</v>
      </c>
      <c r="AW8" s="373">
        <f>$H$8-$M$8-AV8</f>
        <v>6244.5849807760005</v>
      </c>
      <c r="AX8" s="371"/>
    </row>
    <row r="9" spans="1:50" s="233" customFormat="1" ht="30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24">D9+E9</f>
        <v>19983.72</v>
      </c>
      <c r="G9" s="233">
        <v>359</v>
      </c>
      <c r="H9" s="353">
        <f t="shared" si="21"/>
        <v>14107.781648</v>
      </c>
      <c r="I9" s="363">
        <v>0.63</v>
      </c>
      <c r="J9" s="362">
        <v>9900</v>
      </c>
      <c r="K9" s="361">
        <f t="shared" si="12"/>
        <v>9908.743978989869</v>
      </c>
      <c r="L9" s="390">
        <f t="shared" si="0"/>
        <v>10654.563418268675</v>
      </c>
      <c r="M9" s="372">
        <f t="shared" si="13"/>
        <v>95.480758876799996</v>
      </c>
      <c r="N9" s="373">
        <f t="shared" si="14"/>
        <v>14107.781648</v>
      </c>
      <c r="O9" s="374">
        <f t="shared" ref="O9:O20" si="25">(N9-10000)*0.2+10000*0.15</f>
        <v>2321.5563296</v>
      </c>
      <c r="P9" s="373">
        <f>H9-O9-M9</f>
        <v>11690.7445595232</v>
      </c>
      <c r="Q9" s="373">
        <f t="shared" si="15"/>
        <v>28215.563296</v>
      </c>
      <c r="R9" s="376">
        <f>(Q9-25000)*0.27+(25000-N9)*0.2</f>
        <v>3046.6457603200001</v>
      </c>
      <c r="S9" s="373">
        <f>$H$9-$M$9-R9</f>
        <v>10965.655128803201</v>
      </c>
      <c r="T9" s="373">
        <f t="shared" si="1"/>
        <v>42323.344943999997</v>
      </c>
      <c r="U9" s="376">
        <f t="shared" ref="U9:U10" si="26">N9*0.27</f>
        <v>3809.1010449600003</v>
      </c>
      <c r="V9" s="373">
        <f>$H$9-$M$9-U9</f>
        <v>10203.1998441632</v>
      </c>
      <c r="W9" s="373">
        <f t="shared" si="2"/>
        <v>56431.126592000001</v>
      </c>
      <c r="X9" s="376">
        <f t="shared" si="3"/>
        <v>3809.1010449600003</v>
      </c>
      <c r="Y9" s="373">
        <f>$H$9-$M$9-X9</f>
        <v>10203.1998441632</v>
      </c>
      <c r="Z9" s="373">
        <f t="shared" si="4"/>
        <v>70538.908240000004</v>
      </c>
      <c r="AA9" s="376">
        <f t="shared" si="16"/>
        <v>3809.1010449600003</v>
      </c>
      <c r="AB9" s="373">
        <f>$H$9-$M$9-AA9</f>
        <v>10203.1998441632</v>
      </c>
      <c r="AC9" s="373">
        <f t="shared" si="5"/>
        <v>84646.689887999994</v>
      </c>
      <c r="AD9" s="376">
        <f t="shared" si="17"/>
        <v>3809.1010449600003</v>
      </c>
      <c r="AE9" s="373">
        <f>$H$9-$M$9-AD9</f>
        <v>10203.1998441632</v>
      </c>
      <c r="AF9" s="373">
        <f t="shared" si="6"/>
        <v>98754.471535999997</v>
      </c>
      <c r="AG9" s="377">
        <f>(AF9-88000)*0.35+(88000-AC9)*0.27</f>
        <v>4669.4587678400003</v>
      </c>
      <c r="AH9" s="373">
        <f>$H$9-$M$9-AG9</f>
        <v>9342.8421212832</v>
      </c>
      <c r="AI9" s="373">
        <f t="shared" si="7"/>
        <v>112862.253184</v>
      </c>
      <c r="AJ9" s="377">
        <f>H9*0.35</f>
        <v>4937.7235768</v>
      </c>
      <c r="AK9" s="373">
        <f>$H$9-$M$9-AJ9</f>
        <v>9074.5773123231993</v>
      </c>
      <c r="AL9" s="373">
        <f t="shared" si="8"/>
        <v>126970.034832</v>
      </c>
      <c r="AM9" s="377">
        <f>H9*0.35</f>
        <v>4937.7235768</v>
      </c>
      <c r="AN9" s="373">
        <f>$H$9-$M$9-AM9</f>
        <v>9074.5773123231993</v>
      </c>
      <c r="AO9" s="373">
        <f t="shared" si="9"/>
        <v>141077.81648000001</v>
      </c>
      <c r="AP9" s="377">
        <f t="shared" si="18"/>
        <v>4937.7235768</v>
      </c>
      <c r="AQ9" s="373">
        <f>$H$9-$M$9-AP9</f>
        <v>9074.5773123231993</v>
      </c>
      <c r="AR9" s="373">
        <f t="shared" si="10"/>
        <v>155185.59812800001</v>
      </c>
      <c r="AS9" s="377">
        <f t="shared" si="19"/>
        <v>4937.7235768</v>
      </c>
      <c r="AT9" s="373">
        <f>$H$9-$M$9-AS9</f>
        <v>9074.5773123231993</v>
      </c>
      <c r="AU9" s="373">
        <f t="shared" si="11"/>
        <v>169293.37977599999</v>
      </c>
      <c r="AV9" s="377">
        <f t="shared" si="23"/>
        <v>4937.7235768</v>
      </c>
      <c r="AW9" s="373">
        <f>$H$9-$M$9-AV9</f>
        <v>9074.5773123231993</v>
      </c>
      <c r="AX9" s="371"/>
    </row>
    <row r="10" spans="1:50" s="233" customFormat="1" ht="30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24"/>
        <v>19983.72</v>
      </c>
      <c r="G10" s="233">
        <v>359</v>
      </c>
      <c r="H10" s="353">
        <f t="shared" si="21"/>
        <v>12497.0648</v>
      </c>
      <c r="I10" s="463">
        <v>0.5</v>
      </c>
      <c r="J10" s="362">
        <v>8900</v>
      </c>
      <c r="K10" s="361">
        <f t="shared" si="12"/>
        <v>8872.3745149866645</v>
      </c>
      <c r="L10" s="390">
        <f t="shared" si="0"/>
        <v>9540.187650523294</v>
      </c>
      <c r="M10" s="372">
        <f t="shared" si="13"/>
        <v>84.850027679999997</v>
      </c>
      <c r="N10" s="373">
        <f t="shared" si="14"/>
        <v>12497.0648</v>
      </c>
      <c r="O10" s="374">
        <f t="shared" si="25"/>
        <v>1999.4129600000001</v>
      </c>
      <c r="P10" s="373">
        <f>$H$10-$M$10-O10</f>
        <v>10412.80181232</v>
      </c>
      <c r="Q10" s="373">
        <f t="shared" si="15"/>
        <v>24994.1296</v>
      </c>
      <c r="R10" s="376">
        <f>H10*0.2</f>
        <v>2499.4129600000001</v>
      </c>
      <c r="S10" s="373">
        <f>$H$10-$M$10-R10</f>
        <v>9912.80181232</v>
      </c>
      <c r="T10" s="373">
        <f t="shared" si="1"/>
        <v>37491.1944</v>
      </c>
      <c r="U10" s="376">
        <f t="shared" si="26"/>
        <v>3374.2074960000004</v>
      </c>
      <c r="V10" s="373">
        <f>$H$10-$M$10-U10</f>
        <v>9038.0072763199987</v>
      </c>
      <c r="W10" s="373">
        <f t="shared" si="2"/>
        <v>49988.2592</v>
      </c>
      <c r="X10" s="376">
        <f t="shared" si="3"/>
        <v>3374.2074960000004</v>
      </c>
      <c r="Y10" s="373">
        <f>$H$10-$M$10-X10</f>
        <v>9038.0072763199987</v>
      </c>
      <c r="Z10" s="373">
        <f t="shared" si="4"/>
        <v>62485.324000000001</v>
      </c>
      <c r="AA10" s="376">
        <f t="shared" si="16"/>
        <v>3374.2074960000004</v>
      </c>
      <c r="AB10" s="373">
        <f>$H$10-$M$10-AA10</f>
        <v>9038.0072763199987</v>
      </c>
      <c r="AC10" s="373">
        <f t="shared" si="5"/>
        <v>74982.388800000001</v>
      </c>
      <c r="AD10" s="376">
        <f t="shared" si="17"/>
        <v>3374.2074960000004</v>
      </c>
      <c r="AE10" s="373">
        <f>$H$10-$M$10-AD10</f>
        <v>9038.0072763199987</v>
      </c>
      <c r="AF10" s="373">
        <f t="shared" si="6"/>
        <v>87479.453600000008</v>
      </c>
      <c r="AG10" s="377">
        <f>(AF10-88000)*0.35+(88000-AC10)*0.27</f>
        <v>3332.5637840000027</v>
      </c>
      <c r="AH10" s="373">
        <f>$H$10-$M$10-AG10</f>
        <v>9079.6509883199979</v>
      </c>
      <c r="AI10" s="373">
        <f t="shared" si="7"/>
        <v>99976.518400000001</v>
      </c>
      <c r="AJ10" s="377">
        <f>H10*0.35</f>
        <v>4373.9726799999999</v>
      </c>
      <c r="AK10" s="373">
        <f>$H$10-$M$10-AJ10</f>
        <v>8038.2420923199998</v>
      </c>
      <c r="AL10" s="373">
        <f t="shared" si="8"/>
        <v>112473.58319999999</v>
      </c>
      <c r="AM10" s="377">
        <f>H10*0.35</f>
        <v>4373.9726799999999</v>
      </c>
      <c r="AN10" s="373">
        <f>$H$10-$M$10-AM10</f>
        <v>8038.2420923199998</v>
      </c>
      <c r="AO10" s="373">
        <f t="shared" si="9"/>
        <v>124970.648</v>
      </c>
      <c r="AP10" s="377">
        <f t="shared" si="18"/>
        <v>4373.9726799999999</v>
      </c>
      <c r="AQ10" s="373">
        <f>$H$10-$M$10-AP10</f>
        <v>8038.2420923199998</v>
      </c>
      <c r="AR10" s="373">
        <f t="shared" si="10"/>
        <v>137467.71280000001</v>
      </c>
      <c r="AS10" s="377">
        <f t="shared" si="19"/>
        <v>4373.9726799999999</v>
      </c>
      <c r="AT10" s="373">
        <f>$H$10-$M$10-AS10</f>
        <v>8038.2420923199998</v>
      </c>
      <c r="AU10" s="373">
        <f t="shared" si="11"/>
        <v>149964.7776</v>
      </c>
      <c r="AV10" s="377">
        <f t="shared" si="23"/>
        <v>4373.9726799999999</v>
      </c>
      <c r="AW10" s="373">
        <f>$H$10-$M$10-AV10</f>
        <v>8038.2420923199998</v>
      </c>
      <c r="AX10" s="371"/>
    </row>
    <row r="11" spans="1:50" s="233" customFormat="1" ht="30" customHeight="1" x14ac:dyDescent="0.45">
      <c r="A11" s="728"/>
      <c r="B11" s="458" t="s">
        <v>234</v>
      </c>
      <c r="C11" s="231">
        <v>300</v>
      </c>
      <c r="D11" s="238">
        <v>6661</v>
      </c>
      <c r="E11" s="234">
        <v>9992.0399999999991</v>
      </c>
      <c r="F11" s="234">
        <f t="shared" si="24"/>
        <v>16653.04</v>
      </c>
      <c r="G11" s="233">
        <v>359</v>
      </c>
      <c r="H11" s="353">
        <f t="shared" si="21"/>
        <v>10204.890824</v>
      </c>
      <c r="I11" s="463">
        <v>0.42</v>
      </c>
      <c r="J11" s="362">
        <v>7400</v>
      </c>
      <c r="K11" s="361">
        <f t="shared" si="12"/>
        <v>7397.624022828265</v>
      </c>
      <c r="L11" s="390">
        <f t="shared" si="0"/>
        <v>7954.4344331486718</v>
      </c>
      <c r="M11" s="372">
        <f t="shared" si="13"/>
        <v>69.721679438400002</v>
      </c>
      <c r="N11" s="373">
        <f t="shared" si="14"/>
        <v>10204.890824</v>
      </c>
      <c r="O11" s="374">
        <f t="shared" si="25"/>
        <v>1540.9781648000001</v>
      </c>
      <c r="P11" s="373">
        <f>$H$11-$M$11-O11</f>
        <v>8594.190979761599</v>
      </c>
      <c r="Q11" s="373">
        <f t="shared" si="15"/>
        <v>20409.781648</v>
      </c>
      <c r="R11" s="374">
        <f>H11*0.2</f>
        <v>2040.9781648000001</v>
      </c>
      <c r="S11" s="373">
        <f>$H$11-$M$11-R11</f>
        <v>8094.1909797615999</v>
      </c>
      <c r="T11" s="373">
        <f t="shared" si="1"/>
        <v>30614.672471999998</v>
      </c>
      <c r="U11" s="376">
        <f>(T11-25000)*0.27+(25000-Q11)*0.2</f>
        <v>2434.0052378399996</v>
      </c>
      <c r="V11" s="373">
        <f>$H$11-$M$11-U11</f>
        <v>7701.1639067216001</v>
      </c>
      <c r="W11" s="373">
        <f t="shared" si="2"/>
        <v>40819.563296</v>
      </c>
      <c r="X11" s="376">
        <f t="shared" si="3"/>
        <v>2755.3205224800004</v>
      </c>
      <c r="Y11" s="373">
        <f>$H$11-$M$11-X11</f>
        <v>7379.8486220815994</v>
      </c>
      <c r="Z11" s="373">
        <f t="shared" si="4"/>
        <v>51024.454120000002</v>
      </c>
      <c r="AA11" s="376">
        <f t="shared" si="16"/>
        <v>2755.3205224800004</v>
      </c>
      <c r="AB11" s="373">
        <f>$H$11-$M$11-AA11</f>
        <v>7379.8486220815994</v>
      </c>
      <c r="AC11" s="373">
        <f t="shared" si="5"/>
        <v>61229.344943999997</v>
      </c>
      <c r="AD11" s="376">
        <f t="shared" si="17"/>
        <v>2755.3205224800004</v>
      </c>
      <c r="AE11" s="373">
        <f>$H$11-$M$11-AD11</f>
        <v>7379.8486220815994</v>
      </c>
      <c r="AF11" s="373">
        <f t="shared" si="6"/>
        <v>71434.235767999999</v>
      </c>
      <c r="AG11" s="376">
        <f>H11*0.27</f>
        <v>2755.3205224800004</v>
      </c>
      <c r="AH11" s="373">
        <f>$H$11-$M$11-AG11</f>
        <v>7379.8486220815994</v>
      </c>
      <c r="AI11" s="373">
        <f t="shared" si="7"/>
        <v>81639.126592000001</v>
      </c>
      <c r="AJ11" s="376">
        <f>H11*0.27</f>
        <v>2755.3205224800004</v>
      </c>
      <c r="AK11" s="373">
        <f>$H$11-$M$11-AJ11</f>
        <v>7379.8486220815994</v>
      </c>
      <c r="AL11" s="373">
        <f t="shared" si="8"/>
        <v>91844.017416000002</v>
      </c>
      <c r="AM11" s="377">
        <f>(AL11-88000)*0.35+(88000-AI11)*0.27</f>
        <v>3062.841915760001</v>
      </c>
      <c r="AN11" s="373">
        <f>$H$11-$M$11-AM11</f>
        <v>7072.3272288015987</v>
      </c>
      <c r="AO11" s="373">
        <f t="shared" si="9"/>
        <v>102048.90824</v>
      </c>
      <c r="AP11" s="377">
        <f t="shared" si="18"/>
        <v>3571.7117883999999</v>
      </c>
      <c r="AQ11" s="373">
        <f>$H$11-$M$11-AP11</f>
        <v>6563.4573561615998</v>
      </c>
      <c r="AR11" s="373">
        <f t="shared" si="10"/>
        <v>112253.79906400001</v>
      </c>
      <c r="AS11" s="377">
        <f t="shared" si="19"/>
        <v>3571.7117883999999</v>
      </c>
      <c r="AT11" s="373">
        <f>$H$11-$M$11-AS11</f>
        <v>6563.4573561615998</v>
      </c>
      <c r="AU11" s="373">
        <f t="shared" si="11"/>
        <v>122458.68988799999</v>
      </c>
      <c r="AV11" s="377">
        <f t="shared" si="23"/>
        <v>3571.7117883999999</v>
      </c>
      <c r="AW11" s="373">
        <f>$H$11-$M$11-AV11</f>
        <v>6563.4573561615998</v>
      </c>
      <c r="AX11" s="371"/>
    </row>
    <row r="12" spans="1:50" s="380" customFormat="1" ht="30" customHeight="1" x14ac:dyDescent="0.45">
      <c r="A12" s="728"/>
      <c r="B12" s="458" t="s">
        <v>236</v>
      </c>
      <c r="C12" s="231">
        <v>300</v>
      </c>
      <c r="D12" s="238">
        <v>6661</v>
      </c>
      <c r="E12" s="234">
        <v>9992.0399999999991</v>
      </c>
      <c r="F12" s="234">
        <f t="shared" si="24"/>
        <v>16653.04</v>
      </c>
      <c r="G12" s="233">
        <v>359</v>
      </c>
      <c r="H12" s="353">
        <f t="shared" si="21"/>
        <v>9926.1129079999992</v>
      </c>
      <c r="I12" s="463">
        <v>0.39</v>
      </c>
      <c r="J12" s="362">
        <v>7200</v>
      </c>
      <c r="K12" s="361">
        <f t="shared" si="12"/>
        <v>7218.2583116738651</v>
      </c>
      <c r="L12" s="390">
        <f t="shared" si="0"/>
        <v>7761.5680770686722</v>
      </c>
      <c r="M12" s="372">
        <f t="shared" si="13"/>
        <v>67.881745192799997</v>
      </c>
      <c r="N12" s="373">
        <f t="shared" si="14"/>
        <v>9926.1129079999992</v>
      </c>
      <c r="O12" s="381">
        <f t="shared" si="25"/>
        <v>1485.2225815999998</v>
      </c>
      <c r="P12" s="373">
        <f>$H$12-$M$12-O12</f>
        <v>8373.0085812071993</v>
      </c>
      <c r="Q12" s="373">
        <f t="shared" si="15"/>
        <v>19852.225815999998</v>
      </c>
      <c r="R12" s="381">
        <f>H12*0.2</f>
        <v>1985.2225816</v>
      </c>
      <c r="S12" s="373">
        <f>$H$12-$M$12-R12</f>
        <v>7873.0085812071984</v>
      </c>
      <c r="T12" s="373">
        <f t="shared" si="1"/>
        <v>29778.338723999997</v>
      </c>
      <c r="U12" s="382">
        <f>(T12-25000)*0.27+(25000-Q12)*0.2</f>
        <v>2319.7062922799996</v>
      </c>
      <c r="V12" s="373">
        <f>$H$12-$M$12-U12</f>
        <v>7538.5248705271988</v>
      </c>
      <c r="W12" s="373">
        <f t="shared" si="2"/>
        <v>39704.451631999997</v>
      </c>
      <c r="X12" s="382">
        <f t="shared" si="3"/>
        <v>2680.0504851599999</v>
      </c>
      <c r="Y12" s="373">
        <f>$H$12-$M$12-X12</f>
        <v>7178.1806776471985</v>
      </c>
      <c r="Z12" s="373">
        <f t="shared" si="4"/>
        <v>49630.564539999992</v>
      </c>
      <c r="AA12" s="382">
        <f t="shared" si="16"/>
        <v>2680.0504851599999</v>
      </c>
      <c r="AB12" s="373">
        <f>$H$12-$M$12-AA12</f>
        <v>7178.1806776471985</v>
      </c>
      <c r="AC12" s="373">
        <f t="shared" si="5"/>
        <v>59556.677447999995</v>
      </c>
      <c r="AD12" s="382">
        <f t="shared" si="17"/>
        <v>2680.0504851599999</v>
      </c>
      <c r="AE12" s="373">
        <f>$H$12-$M$12-AD12</f>
        <v>7178.1806776471985</v>
      </c>
      <c r="AF12" s="373">
        <f t="shared" si="6"/>
        <v>69482.790355999998</v>
      </c>
      <c r="AG12" s="382">
        <f>H12*0.27</f>
        <v>2680.0504851599999</v>
      </c>
      <c r="AH12" s="373">
        <f>$H$12-$M$12-AG12</f>
        <v>7178.1806776471985</v>
      </c>
      <c r="AI12" s="373">
        <f t="shared" si="7"/>
        <v>79408.903263999993</v>
      </c>
      <c r="AJ12" s="376">
        <f>H12*0.27</f>
        <v>2680.0504851599999</v>
      </c>
      <c r="AK12" s="373">
        <f>$H$12-$M$12-AJ12</f>
        <v>7178.1806776471985</v>
      </c>
      <c r="AL12" s="373">
        <f t="shared" si="8"/>
        <v>89335.016171999989</v>
      </c>
      <c r="AM12" s="377">
        <f>(AL12-88000)*0.35+(88000-AI12)*0.27</f>
        <v>2786.8517789199977</v>
      </c>
      <c r="AN12" s="373">
        <f>$H$12-$M$12-AM12</f>
        <v>7071.3793838872007</v>
      </c>
      <c r="AO12" s="373">
        <f t="shared" si="9"/>
        <v>99261.129079999984</v>
      </c>
      <c r="AP12" s="383">
        <f t="shared" si="18"/>
        <v>3474.1395177999993</v>
      </c>
      <c r="AQ12" s="373">
        <f>$H$12-$M$12-AP12</f>
        <v>6384.0916450071991</v>
      </c>
      <c r="AR12" s="373">
        <f t="shared" si="10"/>
        <v>109187.24198799999</v>
      </c>
      <c r="AS12" s="383">
        <f t="shared" si="19"/>
        <v>3474.1395177999993</v>
      </c>
      <c r="AT12" s="373">
        <f>$H$12-$M$12-AS12</f>
        <v>6384.0916450071991</v>
      </c>
      <c r="AU12" s="373">
        <f t="shared" si="11"/>
        <v>119113.35489599999</v>
      </c>
      <c r="AV12" s="383">
        <f t="shared" si="23"/>
        <v>3474.1395177999993</v>
      </c>
      <c r="AW12" s="373">
        <f>$H$12-$M$12-AV12</f>
        <v>6384.0916450071991</v>
      </c>
      <c r="AX12" s="384"/>
    </row>
    <row r="13" spans="1:50" s="233" customFormat="1" ht="30" customHeight="1" x14ac:dyDescent="0.45">
      <c r="A13" s="728"/>
      <c r="B13" s="458" t="s">
        <v>235</v>
      </c>
      <c r="C13" s="231">
        <v>300</v>
      </c>
      <c r="D13" s="238">
        <v>6661</v>
      </c>
      <c r="E13" s="234">
        <v>9992.0399999999991</v>
      </c>
      <c r="F13" s="234">
        <f t="shared" si="24"/>
        <v>16653.04</v>
      </c>
      <c r="G13" s="233">
        <v>359</v>
      </c>
      <c r="H13" s="353">
        <f t="shared" si="21"/>
        <v>9275.6311040000001</v>
      </c>
      <c r="I13" s="463">
        <v>0.32</v>
      </c>
      <c r="J13" s="362">
        <v>6800</v>
      </c>
      <c r="K13" s="361">
        <f t="shared" si="12"/>
        <v>6799.7383189802667</v>
      </c>
      <c r="L13" s="390">
        <f t="shared" si="0"/>
        <v>7311.5465795486734</v>
      </c>
      <c r="M13" s="372">
        <f t="shared" si="13"/>
        <v>63.588565286399998</v>
      </c>
      <c r="N13" s="373">
        <f t="shared" si="14"/>
        <v>9275.6311040000001</v>
      </c>
      <c r="O13" s="378">
        <f>(N13*0.15)</f>
        <v>1391.3446655999999</v>
      </c>
      <c r="P13" s="373">
        <f>$H$13-$M$13-O13</f>
        <v>7820.6978731136005</v>
      </c>
      <c r="Q13" s="373">
        <f t="shared" si="15"/>
        <v>18551.262208</v>
      </c>
      <c r="R13" s="374">
        <f>(Q13-10000)*0.2+(10000-N13)*0.15</f>
        <v>1818.907776</v>
      </c>
      <c r="S13" s="373">
        <f>$H$13-$M$13-R13</f>
        <v>7393.1347627136001</v>
      </c>
      <c r="T13" s="373">
        <f t="shared" si="1"/>
        <v>27826.893312</v>
      </c>
      <c r="U13" s="376">
        <f>(T13-25000)*0.27+(25000-Q13)*0.2</f>
        <v>2053.0087526400002</v>
      </c>
      <c r="V13" s="373">
        <f>$H$13-$M$13-U13</f>
        <v>7159.0337860735999</v>
      </c>
      <c r="W13" s="373">
        <f t="shared" si="2"/>
        <v>37102.524416</v>
      </c>
      <c r="X13" s="376">
        <f t="shared" si="3"/>
        <v>2504.4203980800003</v>
      </c>
      <c r="Y13" s="373">
        <f>$H$13-$M$13-X13</f>
        <v>6707.6221406335999</v>
      </c>
      <c r="Z13" s="373">
        <f t="shared" si="4"/>
        <v>46378.15552</v>
      </c>
      <c r="AA13" s="376">
        <f t="shared" si="16"/>
        <v>2504.4203980800003</v>
      </c>
      <c r="AB13" s="373">
        <f>$H$13-$M$13-AA13</f>
        <v>6707.6221406335999</v>
      </c>
      <c r="AC13" s="373">
        <f t="shared" si="5"/>
        <v>55653.786624</v>
      </c>
      <c r="AD13" s="376">
        <f t="shared" si="17"/>
        <v>2504.4203980800003</v>
      </c>
      <c r="AE13" s="373">
        <f>$H$13-$M$13-AD13</f>
        <v>6707.6221406335999</v>
      </c>
      <c r="AF13" s="373">
        <f t="shared" si="6"/>
        <v>64929.417728</v>
      </c>
      <c r="AG13" s="376">
        <f>H13*0.27</f>
        <v>2504.4203980800003</v>
      </c>
      <c r="AH13" s="373">
        <f>$H$13-$M$13-AG13</f>
        <v>6707.6221406335999</v>
      </c>
      <c r="AI13" s="373">
        <f t="shared" si="7"/>
        <v>74205.048832</v>
      </c>
      <c r="AJ13" s="376">
        <f>H13*0.27</f>
        <v>2504.4203980800003</v>
      </c>
      <c r="AK13" s="373">
        <f>$H$13-$M$13-AJ13</f>
        <v>6707.6221406335999</v>
      </c>
      <c r="AL13" s="373">
        <f t="shared" si="8"/>
        <v>83480.679936</v>
      </c>
      <c r="AM13" s="376">
        <f>H13*0.27</f>
        <v>2504.4203980800003</v>
      </c>
      <c r="AN13" s="373">
        <f>$H$13-$M$13-AM13</f>
        <v>6707.6221406335999</v>
      </c>
      <c r="AO13" s="373">
        <f t="shared" si="9"/>
        <v>92756.311040000001</v>
      </c>
      <c r="AP13" s="377">
        <f>(AO13-88000)*0.35+(88000-AL13)*0.27</f>
        <v>2884.92528128</v>
      </c>
      <c r="AQ13" s="373">
        <f>$H$13-$M$13-AP13</f>
        <v>6327.1172574335997</v>
      </c>
      <c r="AR13" s="373">
        <f t="shared" si="10"/>
        <v>102031.942144</v>
      </c>
      <c r="AS13" s="377">
        <f t="shared" si="19"/>
        <v>3246.4708863999999</v>
      </c>
      <c r="AT13" s="373">
        <f>$H$13-$M$13-AS13</f>
        <v>5965.5716523135998</v>
      </c>
      <c r="AU13" s="373">
        <f t="shared" si="11"/>
        <v>111307.573248</v>
      </c>
      <c r="AV13" s="377">
        <f t="shared" si="23"/>
        <v>3246.4708863999999</v>
      </c>
      <c r="AW13" s="373">
        <f>$H$13-$M$13-AV13</f>
        <v>5965.5716523135998</v>
      </c>
      <c r="AX13" s="371"/>
    </row>
    <row r="14" spans="1:50" s="233" customFormat="1" ht="30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24"/>
        <v>16653.04</v>
      </c>
      <c r="G14" s="233">
        <v>359</v>
      </c>
      <c r="H14" s="353">
        <f t="shared" si="21"/>
        <v>8346.371384</v>
      </c>
      <c r="I14" s="463">
        <v>0.22</v>
      </c>
      <c r="J14" s="362">
        <v>6200</v>
      </c>
      <c r="K14" s="361">
        <f t="shared" si="12"/>
        <v>6201.8526151322667</v>
      </c>
      <c r="L14" s="390">
        <f t="shared" si="0"/>
        <v>6668.6587259486732</v>
      </c>
      <c r="M14" s="372">
        <f t="shared" si="13"/>
        <v>57.455451134400001</v>
      </c>
      <c r="N14" s="373">
        <f t="shared" si="14"/>
        <v>8346.371384</v>
      </c>
      <c r="O14" s="378">
        <f>(N14*0.15)</f>
        <v>1251.9557075999999</v>
      </c>
      <c r="P14" s="373">
        <f>$H$14-$M$14-O14</f>
        <v>7036.9602252656005</v>
      </c>
      <c r="Q14" s="373">
        <f t="shared" si="15"/>
        <v>16692.742768</v>
      </c>
      <c r="R14" s="374">
        <f>(Q14-10000)*0.2+(10000-N14)*0.15</f>
        <v>1586.592846</v>
      </c>
      <c r="S14" s="373">
        <f>$H$14-$M$14-R14</f>
        <v>6702.323086865601</v>
      </c>
      <c r="T14" s="373">
        <f t="shared" si="1"/>
        <v>25039.114152000002</v>
      </c>
      <c r="U14" s="376">
        <f>(T14-25000)*0.27+(25000-Q14)*0.2</f>
        <v>1672.0122674400006</v>
      </c>
      <c r="V14" s="373">
        <f>$H$14-$M$14-U14</f>
        <v>6616.9036654255997</v>
      </c>
      <c r="W14" s="373">
        <f t="shared" si="2"/>
        <v>33385.485536</v>
      </c>
      <c r="X14" s="376">
        <f t="shared" si="3"/>
        <v>2253.5202736800002</v>
      </c>
      <c r="Y14" s="373">
        <f>$H$14-$M$14-X14</f>
        <v>6035.3956591856004</v>
      </c>
      <c r="Z14" s="373">
        <f t="shared" si="4"/>
        <v>41731.856919999998</v>
      </c>
      <c r="AA14" s="376">
        <f t="shared" si="16"/>
        <v>2253.5202736800002</v>
      </c>
      <c r="AB14" s="373">
        <f>$H$14-$M$14-AA14</f>
        <v>6035.3956591856004</v>
      </c>
      <c r="AC14" s="373">
        <f t="shared" si="5"/>
        <v>50078.228304000004</v>
      </c>
      <c r="AD14" s="376">
        <f t="shared" si="17"/>
        <v>2253.5202736800002</v>
      </c>
      <c r="AE14" s="373">
        <f>$H$14-$M$14-AD14</f>
        <v>6035.3956591856004</v>
      </c>
      <c r="AF14" s="373">
        <f t="shared" si="6"/>
        <v>58424.599688000002</v>
      </c>
      <c r="AG14" s="376">
        <f>H14*0.27</f>
        <v>2253.5202736800002</v>
      </c>
      <c r="AH14" s="373">
        <f>$H$14-$M$14-AG14</f>
        <v>6035.3956591856004</v>
      </c>
      <c r="AI14" s="373">
        <f t="shared" si="7"/>
        <v>66770.971072</v>
      </c>
      <c r="AJ14" s="376">
        <f>H14*0.27</f>
        <v>2253.5202736800002</v>
      </c>
      <c r="AK14" s="373">
        <f>$H$14-$M$14-AJ14</f>
        <v>6035.3956591856004</v>
      </c>
      <c r="AL14" s="373">
        <f t="shared" si="8"/>
        <v>75117.342455999998</v>
      </c>
      <c r="AM14" s="376">
        <f>H14*0.27</f>
        <v>2253.5202736800002</v>
      </c>
      <c r="AN14" s="373">
        <f>$H$14-$M$14-AM14</f>
        <v>6035.3956591856004</v>
      </c>
      <c r="AO14" s="373">
        <f t="shared" si="9"/>
        <v>83463.713839999997</v>
      </c>
      <c r="AP14" s="377">
        <f>(AO14-88000)*0.35+(88000-AL14)*0.27</f>
        <v>1890.6173808799997</v>
      </c>
      <c r="AQ14" s="373">
        <f>$H$14-$M$14-AP14</f>
        <v>6398.2985519856011</v>
      </c>
      <c r="AR14" s="373">
        <f t="shared" si="10"/>
        <v>91810.085223999995</v>
      </c>
      <c r="AS14" s="377">
        <f t="shared" si="19"/>
        <v>2921.2299843999999</v>
      </c>
      <c r="AT14" s="373">
        <f>$H$14-$M$14-AS14</f>
        <v>5367.6859484656006</v>
      </c>
      <c r="AU14" s="373">
        <f t="shared" si="11"/>
        <v>100156.45660800001</v>
      </c>
      <c r="AV14" s="377">
        <f t="shared" si="23"/>
        <v>2921.2299843999999</v>
      </c>
      <c r="AW14" s="373">
        <f>$H$14-$M$14-AV14</f>
        <v>5367.6859484656006</v>
      </c>
      <c r="AX14" s="371"/>
    </row>
    <row r="15" spans="1:50" s="233" customFormat="1" ht="30" customHeight="1" x14ac:dyDescent="0.45">
      <c r="A15" s="730" t="s">
        <v>15</v>
      </c>
      <c r="B15" s="458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24"/>
        <v>24980.1</v>
      </c>
      <c r="G15" s="233">
        <v>359</v>
      </c>
      <c r="H15" s="353">
        <f t="shared" si="21"/>
        <v>17089.100247999999</v>
      </c>
      <c r="I15" s="463">
        <v>0.67</v>
      </c>
      <c r="J15" s="362">
        <v>11900</v>
      </c>
      <c r="K15" s="361">
        <f t="shared" si="12"/>
        <v>11826.924366229863</v>
      </c>
      <c r="L15" s="390">
        <f t="shared" si="0"/>
        <v>12717.122974440712</v>
      </c>
      <c r="M15" s="372">
        <f t="shared" si="13"/>
        <v>115.15746163679999</v>
      </c>
      <c r="N15" s="373">
        <f t="shared" si="14"/>
        <v>17089.100247999999</v>
      </c>
      <c r="O15" s="374">
        <f t="shared" si="25"/>
        <v>2917.8200495999999</v>
      </c>
      <c r="P15" s="373">
        <f>$H$15-$M$15-O15</f>
        <v>14056.122736763198</v>
      </c>
      <c r="Q15" s="373">
        <f t="shared" si="15"/>
        <v>34178.200495999998</v>
      </c>
      <c r="R15" s="376">
        <f>(Q15-25000)*0.27+(25000-N15)*0.2</f>
        <v>4060.2940843199995</v>
      </c>
      <c r="S15" s="373">
        <f>$H$15-$M$15-R15</f>
        <v>12913.648702043198</v>
      </c>
      <c r="T15" s="373">
        <f t="shared" si="1"/>
        <v>51267.300743999993</v>
      </c>
      <c r="U15" s="376">
        <f>H15*0.27</f>
        <v>4614.0570669600002</v>
      </c>
      <c r="V15" s="373">
        <f>$H$15-$M$15-U15</f>
        <v>12359.885719403197</v>
      </c>
      <c r="W15" s="373">
        <f t="shared" si="2"/>
        <v>68356.400991999995</v>
      </c>
      <c r="X15" s="376">
        <f t="shared" si="3"/>
        <v>4614.0570669600002</v>
      </c>
      <c r="Y15" s="373">
        <f>$H$15-$M$15-X15</f>
        <v>12359.885719403197</v>
      </c>
      <c r="Z15" s="373">
        <f t="shared" si="4"/>
        <v>85445.501239999998</v>
      </c>
      <c r="AA15" s="376">
        <f t="shared" si="16"/>
        <v>4614.0570669600002</v>
      </c>
      <c r="AB15" s="373">
        <f>$H$15-$M$15-AA15</f>
        <v>12359.885719403197</v>
      </c>
      <c r="AC15" s="373">
        <f t="shared" si="5"/>
        <v>102534.60148799999</v>
      </c>
      <c r="AD15" s="377">
        <f>(AC15-88000)*0.35+(88000-Z15)*0.27</f>
        <v>5776.8251859999955</v>
      </c>
      <c r="AE15" s="373">
        <f>$H$15-$M$15-AD15</f>
        <v>11197.117600363203</v>
      </c>
      <c r="AF15" s="373">
        <f t="shared" si="6"/>
        <v>119623.70173599999</v>
      </c>
      <c r="AG15" s="377">
        <f>H15*0.35</f>
        <v>5981.1850867999992</v>
      </c>
      <c r="AH15" s="373">
        <f>$H$15-$M$15-AG15</f>
        <v>10992.757699563197</v>
      </c>
      <c r="AI15" s="373">
        <f t="shared" si="7"/>
        <v>136712.80198399999</v>
      </c>
      <c r="AJ15" s="377">
        <f>H15*0.35</f>
        <v>5981.1850867999992</v>
      </c>
      <c r="AK15" s="373">
        <f>$H$15-$M$15-AJ15</f>
        <v>10992.757699563197</v>
      </c>
      <c r="AL15" s="373">
        <f t="shared" si="8"/>
        <v>153801.90223199999</v>
      </c>
      <c r="AM15" s="377">
        <f>H15*0.35</f>
        <v>5981.1850867999992</v>
      </c>
      <c r="AN15" s="373">
        <f>$H$15-$M$15-AM15</f>
        <v>10992.757699563197</v>
      </c>
      <c r="AO15" s="373">
        <f t="shared" si="9"/>
        <v>170891.00248</v>
      </c>
      <c r="AP15" s="377">
        <f>H15*0.35</f>
        <v>5981.1850867999992</v>
      </c>
      <c r="AQ15" s="373">
        <f>$H$15-$M$15-AP15</f>
        <v>10992.757699563197</v>
      </c>
      <c r="AR15" s="373">
        <f t="shared" si="10"/>
        <v>187980.102728</v>
      </c>
      <c r="AS15" s="377">
        <f t="shared" si="19"/>
        <v>5981.1850867999992</v>
      </c>
      <c r="AT15" s="373">
        <f>$H$15-$M$15-AS15</f>
        <v>10992.757699563197</v>
      </c>
      <c r="AU15" s="373">
        <f t="shared" si="11"/>
        <v>205069.20297599997</v>
      </c>
      <c r="AV15" s="377">
        <f t="shared" si="23"/>
        <v>5981.1850867999992</v>
      </c>
      <c r="AW15" s="373">
        <f>$H$15-$M$15-AV15</f>
        <v>10992.757699563197</v>
      </c>
      <c r="AX15" s="371"/>
    </row>
    <row r="16" spans="1:50" s="233" customFormat="1" ht="30" customHeight="1" x14ac:dyDescent="0.45">
      <c r="A16" s="730"/>
      <c r="B16" s="458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24"/>
        <v>24980.1</v>
      </c>
      <c r="G16" s="233">
        <v>359</v>
      </c>
      <c r="H16" s="353">
        <f t="shared" si="21"/>
        <v>11141.838039999999</v>
      </c>
      <c r="I16" s="363">
        <v>0.35</v>
      </c>
      <c r="J16" s="362">
        <v>8000</v>
      </c>
      <c r="K16" s="361">
        <f t="shared" si="12"/>
        <v>8000.4558616026688</v>
      </c>
      <c r="L16" s="390">
        <f t="shared" si="0"/>
        <v>8602.6407114007179</v>
      </c>
      <c r="M16" s="372">
        <f t="shared" si="13"/>
        <v>75.905531063999987</v>
      </c>
      <c r="N16" s="373">
        <f t="shared" si="14"/>
        <v>11141.838039999999</v>
      </c>
      <c r="O16" s="374">
        <f t="shared" si="25"/>
        <v>1728.3676079999998</v>
      </c>
      <c r="P16" s="373">
        <f>$H$16-$M$16-O16</f>
        <v>9337.5649009359986</v>
      </c>
      <c r="Q16" s="373">
        <f t="shared" si="15"/>
        <v>22283.676079999997</v>
      </c>
      <c r="R16" s="374">
        <f>H16*0.2</f>
        <v>2228.367608</v>
      </c>
      <c r="S16" s="373">
        <f>$H$16-$M$16-R16</f>
        <v>8837.5649009359986</v>
      </c>
      <c r="T16" s="373">
        <f t="shared" si="1"/>
        <v>33425.514119999993</v>
      </c>
      <c r="U16" s="376">
        <f>(T16-25000)*0.27+(25000-Q16)*0.2</f>
        <v>2818.1535963999986</v>
      </c>
      <c r="V16" s="373">
        <f>$H$16-$M$16-U16</f>
        <v>8247.7789125359996</v>
      </c>
      <c r="W16" s="373">
        <f t="shared" si="2"/>
        <v>44567.352159999995</v>
      </c>
      <c r="X16" s="376">
        <f t="shared" si="3"/>
        <v>3008.2962708</v>
      </c>
      <c r="Y16" s="373">
        <f>$H$16-$M$16-X16</f>
        <v>8057.6362381359995</v>
      </c>
      <c r="Z16" s="373">
        <f t="shared" si="4"/>
        <v>55709.190199999997</v>
      </c>
      <c r="AA16" s="376">
        <f t="shared" si="16"/>
        <v>3008.2962708</v>
      </c>
      <c r="AB16" s="373">
        <f>$H$16-$M$16-AA16</f>
        <v>8057.6362381359995</v>
      </c>
      <c r="AC16" s="373">
        <f t="shared" si="5"/>
        <v>66851.028239999985</v>
      </c>
      <c r="AD16" s="376">
        <f t="shared" ref="AD16:AD26" si="27">H16*0.27</f>
        <v>3008.2962708</v>
      </c>
      <c r="AE16" s="373">
        <f>$H$16-$M$16-AD16</f>
        <v>8057.6362381359995</v>
      </c>
      <c r="AF16" s="373">
        <f t="shared" si="6"/>
        <v>77992.866279999987</v>
      </c>
      <c r="AG16" s="376">
        <f>H16*0.27</f>
        <v>3008.2962708</v>
      </c>
      <c r="AH16" s="373">
        <f>$H$16-$M$16-AG16</f>
        <v>8057.6362381359995</v>
      </c>
      <c r="AI16" s="373">
        <f t="shared" si="7"/>
        <v>89134.70431999999</v>
      </c>
      <c r="AJ16" s="377">
        <f>(AI16-88000)*0.35+(88000-AF16)*0.27</f>
        <v>3099.0726163999998</v>
      </c>
      <c r="AK16" s="373">
        <f>$H$16-$M$16-AJ16</f>
        <v>7966.8598925359993</v>
      </c>
      <c r="AL16" s="373">
        <f t="shared" si="8"/>
        <v>100276.54235999999</v>
      </c>
      <c r="AM16" s="377">
        <f>H16*0.35</f>
        <v>3899.6433139999995</v>
      </c>
      <c r="AN16" s="373">
        <f>$H$16-$M$16-AM16</f>
        <v>7166.2891949360001</v>
      </c>
      <c r="AO16" s="373">
        <f t="shared" si="9"/>
        <v>111418.38039999999</v>
      </c>
      <c r="AP16" s="377">
        <f>H16*0.35</f>
        <v>3899.6433139999995</v>
      </c>
      <c r="AQ16" s="373">
        <f>$H$16-$M$16-AP16</f>
        <v>7166.2891949360001</v>
      </c>
      <c r="AR16" s="373">
        <f t="shared" si="10"/>
        <v>122560.21843999998</v>
      </c>
      <c r="AS16" s="377">
        <f t="shared" si="19"/>
        <v>3899.6433139999995</v>
      </c>
      <c r="AT16" s="373">
        <f>$H$16-$M$16-AS16</f>
        <v>7166.2891949360001</v>
      </c>
      <c r="AU16" s="373">
        <f t="shared" si="11"/>
        <v>133702.05647999997</v>
      </c>
      <c r="AV16" s="377">
        <f t="shared" si="23"/>
        <v>3899.6433139999995</v>
      </c>
      <c r="AW16" s="373">
        <f>$H$16-$M$16-AV16</f>
        <v>7166.2891949360001</v>
      </c>
      <c r="AX16" s="371"/>
    </row>
    <row r="17" spans="1:50" s="233" customFormat="1" ht="30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24"/>
        <v>24980.1</v>
      </c>
      <c r="G17" s="233">
        <v>359</v>
      </c>
      <c r="H17" s="353">
        <f t="shared" si="21"/>
        <v>9283.3185999999987</v>
      </c>
      <c r="I17" s="363">
        <v>0.25</v>
      </c>
      <c r="J17" s="362">
        <v>6804</v>
      </c>
      <c r="K17" s="361">
        <f t="shared" si="12"/>
        <v>6804.684453906666</v>
      </c>
      <c r="L17" s="390">
        <f t="shared" si="0"/>
        <v>7316.8650042007157</v>
      </c>
      <c r="M17" s="372">
        <f t="shared" si="13"/>
        <v>63.639302759999993</v>
      </c>
      <c r="N17" s="373">
        <f t="shared" si="14"/>
        <v>9283.3185999999987</v>
      </c>
      <c r="O17" s="378">
        <f>N17*0.15</f>
        <v>1392.4977899999997</v>
      </c>
      <c r="P17" s="373">
        <f>$H$17-$M$17-O17</f>
        <v>7827.1815072399986</v>
      </c>
      <c r="Q17" s="373">
        <f t="shared" si="15"/>
        <v>18566.637199999997</v>
      </c>
      <c r="R17" s="374">
        <f>(Q17-10000)*0.2+(10000-N17)*0.15</f>
        <v>1820.8296499999997</v>
      </c>
      <c r="S17" s="373">
        <f>$H$17-$M$17-R17</f>
        <v>7398.8496472399984</v>
      </c>
      <c r="T17" s="373">
        <f t="shared" si="1"/>
        <v>27849.955799999996</v>
      </c>
      <c r="U17" s="376">
        <f>(T17-25000)*0.27+(25000-Q17)*0.2</f>
        <v>2056.1606259999999</v>
      </c>
      <c r="V17" s="373">
        <f>$H$17-$M$17-U17</f>
        <v>7163.5186712399982</v>
      </c>
      <c r="W17" s="373">
        <f t="shared" si="2"/>
        <v>37133.274399999995</v>
      </c>
      <c r="X17" s="376">
        <f t="shared" si="3"/>
        <v>2506.4960219999998</v>
      </c>
      <c r="Y17" s="373">
        <f>$H$17-$M$17-X17</f>
        <v>6713.1832752399987</v>
      </c>
      <c r="Z17" s="373">
        <f t="shared" si="4"/>
        <v>46416.592999999993</v>
      </c>
      <c r="AA17" s="376">
        <f t="shared" si="16"/>
        <v>2506.4960219999998</v>
      </c>
      <c r="AB17" s="373">
        <f>$H$17-$M$17-AA17</f>
        <v>6713.1832752399987</v>
      </c>
      <c r="AC17" s="373">
        <f t="shared" si="5"/>
        <v>55699.911599999992</v>
      </c>
      <c r="AD17" s="376">
        <f t="shared" si="27"/>
        <v>2506.4960219999998</v>
      </c>
      <c r="AE17" s="373">
        <f>$H$17-$M$17-AD17</f>
        <v>6713.1832752399987</v>
      </c>
      <c r="AF17" s="373">
        <f t="shared" si="6"/>
        <v>64983.230199999991</v>
      </c>
      <c r="AG17" s="376">
        <f>H17*0.27</f>
        <v>2506.4960219999998</v>
      </c>
      <c r="AH17" s="373">
        <f>$H$17-$M$17-AG17</f>
        <v>6713.1832752399987</v>
      </c>
      <c r="AI17" s="373">
        <f t="shared" si="7"/>
        <v>74266.54879999999</v>
      </c>
      <c r="AJ17" s="376">
        <f>H17*0.27</f>
        <v>2506.4960219999998</v>
      </c>
      <c r="AK17" s="373">
        <f>$H$17-$M$17-AJ17</f>
        <v>6713.1832752399987</v>
      </c>
      <c r="AL17" s="373">
        <f t="shared" si="8"/>
        <v>83549.867399999988</v>
      </c>
      <c r="AM17" s="376">
        <f>H17*0.27</f>
        <v>2506.4960219999998</v>
      </c>
      <c r="AN17" s="373">
        <f>$H$17-$M$17-AM17</f>
        <v>6713.1832752399987</v>
      </c>
      <c r="AO17" s="373">
        <f t="shared" si="9"/>
        <v>92833.185999999987</v>
      </c>
      <c r="AP17" s="377">
        <f>(AO17-88000)*0.35+(88000-AL17)*0.27</f>
        <v>2893.1509019999985</v>
      </c>
      <c r="AQ17" s="373">
        <f>$H$17-$M$17-AP17</f>
        <v>6326.5283952399996</v>
      </c>
      <c r="AR17" s="373">
        <f t="shared" si="10"/>
        <v>102116.50459999999</v>
      </c>
      <c r="AS17" s="377">
        <f t="shared" si="19"/>
        <v>3249.1615099999995</v>
      </c>
      <c r="AT17" s="373">
        <f>$H$17-$M$17-AS17</f>
        <v>5970.5177872399981</v>
      </c>
      <c r="AU17" s="373">
        <f t="shared" si="11"/>
        <v>111399.82319999998</v>
      </c>
      <c r="AV17" s="377">
        <f t="shared" si="23"/>
        <v>3249.1615099999995</v>
      </c>
      <c r="AW17" s="373">
        <f>$H$17-$M$17-AV17</f>
        <v>5970.5177872399981</v>
      </c>
      <c r="AX17" s="371"/>
    </row>
    <row r="18" spans="1:50" s="233" customFormat="1" ht="30" customHeight="1" x14ac:dyDescent="0.45">
      <c r="A18" s="730"/>
      <c r="B18" s="458" t="s">
        <v>32</v>
      </c>
      <c r="C18" s="231">
        <v>450</v>
      </c>
      <c r="D18" s="234">
        <v>4996.0199999999995</v>
      </c>
      <c r="E18" s="234">
        <v>14988.06</v>
      </c>
      <c r="F18" s="234">
        <f t="shared" si="24"/>
        <v>19984.079999999998</v>
      </c>
      <c r="G18" s="233">
        <v>359</v>
      </c>
      <c r="H18" s="353">
        <f t="shared" si="21"/>
        <v>13418.524354000001</v>
      </c>
      <c r="I18" s="463">
        <v>0.63</v>
      </c>
      <c r="J18" s="362">
        <v>9500</v>
      </c>
      <c r="K18" s="361">
        <f t="shared" si="12"/>
        <v>9465.2758360302669</v>
      </c>
      <c r="L18" s="390">
        <f t="shared" si="0"/>
        <v>10177.715952720717</v>
      </c>
      <c r="M18" s="372">
        <f t="shared" si="13"/>
        <v>90.931660736400005</v>
      </c>
      <c r="N18" s="373">
        <f t="shared" si="14"/>
        <v>13418.524354000001</v>
      </c>
      <c r="O18" s="374">
        <f t="shared" si="25"/>
        <v>2183.7048708000002</v>
      </c>
      <c r="P18" s="373">
        <f>$H$18-$M$18-O18</f>
        <v>11143.887822463601</v>
      </c>
      <c r="Q18" s="373">
        <f t="shared" si="15"/>
        <v>26837.048708000002</v>
      </c>
      <c r="R18" s="376">
        <f>(Q18-25000)*0.27+(25000-N18)*0.2</f>
        <v>2812.2982803600003</v>
      </c>
      <c r="S18" s="373">
        <f>$H$18-$M$18-R18</f>
        <v>10515.2944129036</v>
      </c>
      <c r="T18" s="373">
        <f t="shared" si="1"/>
        <v>40255.573062000003</v>
      </c>
      <c r="U18" s="376">
        <f>H18*0.27</f>
        <v>3623.0015755800005</v>
      </c>
      <c r="V18" s="373">
        <f>$H$18-$M$18-U18</f>
        <v>9704.5911176836016</v>
      </c>
      <c r="W18" s="373">
        <f t="shared" si="2"/>
        <v>53674.097416000004</v>
      </c>
      <c r="X18" s="376">
        <f t="shared" si="3"/>
        <v>3623.0015755800005</v>
      </c>
      <c r="Y18" s="373">
        <f>$H$18-$M$18-X18</f>
        <v>9704.5911176836016</v>
      </c>
      <c r="Z18" s="373">
        <f t="shared" si="4"/>
        <v>67092.621769999998</v>
      </c>
      <c r="AA18" s="376">
        <f t="shared" si="16"/>
        <v>3623.0015755800005</v>
      </c>
      <c r="AB18" s="373">
        <f>$H$18-$M$18-AA18</f>
        <v>9704.5911176836016</v>
      </c>
      <c r="AC18" s="373">
        <f t="shared" si="5"/>
        <v>80511.146124000006</v>
      </c>
      <c r="AD18" s="376">
        <f t="shared" si="27"/>
        <v>3623.0015755800005</v>
      </c>
      <c r="AE18" s="373">
        <f>$H$18-$M$18-AD18</f>
        <v>9704.5911176836016</v>
      </c>
      <c r="AF18" s="373">
        <f t="shared" si="6"/>
        <v>93929.670478000015</v>
      </c>
      <c r="AG18" s="377">
        <f>(AF18-88000)*0.35+(88000-AC18)*0.27</f>
        <v>4097.3752138200034</v>
      </c>
      <c r="AH18" s="373">
        <f>$H$18-$M$18-AG18</f>
        <v>9230.2174794435978</v>
      </c>
      <c r="AI18" s="373">
        <f t="shared" si="7"/>
        <v>107348.19483200001</v>
      </c>
      <c r="AJ18" s="377">
        <f>H18*0.35</f>
        <v>4696.4835239000004</v>
      </c>
      <c r="AK18" s="373">
        <f>$H$18-$M$18-AJ18</f>
        <v>8631.1091693636008</v>
      </c>
      <c r="AL18" s="373">
        <f t="shared" si="8"/>
        <v>120766.719186</v>
      </c>
      <c r="AM18" s="377">
        <f>H18*0.35</f>
        <v>4696.4835239000004</v>
      </c>
      <c r="AN18" s="373">
        <f>$H$18-$M$18-AM18</f>
        <v>8631.1091693636008</v>
      </c>
      <c r="AO18" s="373">
        <f t="shared" si="9"/>
        <v>134185.24354</v>
      </c>
      <c r="AP18" s="377">
        <f>H18*0.35</f>
        <v>4696.4835239000004</v>
      </c>
      <c r="AQ18" s="373">
        <f>$H$18-$M$18-AP18</f>
        <v>8631.1091693636008</v>
      </c>
      <c r="AR18" s="373">
        <f t="shared" si="10"/>
        <v>147603.76789400002</v>
      </c>
      <c r="AS18" s="377">
        <f t="shared" si="19"/>
        <v>4696.4835239000004</v>
      </c>
      <c r="AT18" s="373">
        <f>$H$18-$M$18-AS18</f>
        <v>8631.1091693636008</v>
      </c>
      <c r="AU18" s="373">
        <f t="shared" si="11"/>
        <v>161022.29224800001</v>
      </c>
      <c r="AV18" s="377">
        <f t="shared" si="23"/>
        <v>4696.4835239000004</v>
      </c>
      <c r="AW18" s="373">
        <f>$H$18-$M$18-AV18</f>
        <v>8631.1091693636008</v>
      </c>
      <c r="AX18" s="371"/>
    </row>
    <row r="19" spans="1:50" s="233" customFormat="1" ht="30" customHeight="1" x14ac:dyDescent="0.45">
      <c r="A19" s="730"/>
      <c r="B19" s="458" t="s">
        <v>237</v>
      </c>
      <c r="C19" s="231">
        <v>450</v>
      </c>
      <c r="D19" s="234">
        <v>4996.0199999999995</v>
      </c>
      <c r="E19" s="234">
        <v>14988.06</v>
      </c>
      <c r="F19" s="234">
        <f t="shared" si="24"/>
        <v>19984.079999999998</v>
      </c>
      <c r="G19" s="233">
        <v>359</v>
      </c>
      <c r="H19" s="353">
        <f t="shared" si="21"/>
        <v>11606.4679</v>
      </c>
      <c r="I19" s="463">
        <v>0.5</v>
      </c>
      <c r="J19" s="362">
        <v>8300</v>
      </c>
      <c r="K19" s="361">
        <f t="shared" si="12"/>
        <v>8299.3987135266634</v>
      </c>
      <c r="L19" s="390">
        <f t="shared" si="0"/>
        <v>8924.084638200713</v>
      </c>
      <c r="M19" s="372">
        <f t="shared" si="13"/>
        <v>78.972088139999997</v>
      </c>
      <c r="N19" s="373">
        <f t="shared" si="14"/>
        <v>11606.4679</v>
      </c>
      <c r="O19" s="374">
        <f t="shared" si="25"/>
        <v>1821.29358</v>
      </c>
      <c r="P19" s="373">
        <f>$H$19-$M$19-O19</f>
        <v>9706.2022318599993</v>
      </c>
      <c r="Q19" s="373">
        <f t="shared" si="15"/>
        <v>23212.935799999999</v>
      </c>
      <c r="R19" s="374">
        <f>H19*0.2</f>
        <v>2321.29358</v>
      </c>
      <c r="S19" s="373">
        <f>$H$19-$M$19-R19</f>
        <v>9206.2022318599993</v>
      </c>
      <c r="T19" s="373">
        <f t="shared" si="1"/>
        <v>34819.403699999995</v>
      </c>
      <c r="U19" s="376">
        <f>(T19-25000)*0.27+(25000-Q19)*0.2</f>
        <v>3008.6518389999992</v>
      </c>
      <c r="V19" s="373">
        <f>$H$19-$M$19-U19</f>
        <v>8518.8439728599988</v>
      </c>
      <c r="W19" s="373">
        <f t="shared" si="2"/>
        <v>46425.871599999999</v>
      </c>
      <c r="X19" s="376">
        <f t="shared" si="3"/>
        <v>3133.746333</v>
      </c>
      <c r="Y19" s="373">
        <f>$H$19-$M$19-X19</f>
        <v>8393.7494788599979</v>
      </c>
      <c r="Z19" s="373">
        <f t="shared" si="4"/>
        <v>58032.339500000002</v>
      </c>
      <c r="AA19" s="376">
        <f t="shared" si="16"/>
        <v>3133.746333</v>
      </c>
      <c r="AB19" s="373">
        <f>$H$19-$M$19-AA19</f>
        <v>8393.7494788599979</v>
      </c>
      <c r="AC19" s="373">
        <f t="shared" si="5"/>
        <v>69638.807399999991</v>
      </c>
      <c r="AD19" s="376">
        <f t="shared" si="27"/>
        <v>3133.746333</v>
      </c>
      <c r="AE19" s="373">
        <f>$H$19-$M$19-AD19</f>
        <v>8393.7494788599979</v>
      </c>
      <c r="AF19" s="373">
        <f t="shared" si="6"/>
        <v>81245.275299999994</v>
      </c>
      <c r="AG19" s="376">
        <f t="shared" ref="AG19:AG26" si="28">H19*0.27</f>
        <v>3133.746333</v>
      </c>
      <c r="AH19" s="373">
        <f>$H$19-$M$19-AG19</f>
        <v>8393.7494788599979</v>
      </c>
      <c r="AI19" s="373">
        <f t="shared" si="7"/>
        <v>92851.743199999997</v>
      </c>
      <c r="AJ19" s="377">
        <f>(AI19-88000)*0.35+(88000-AF19)*0.27</f>
        <v>3521.8857890000008</v>
      </c>
      <c r="AK19" s="373">
        <f>$H$19-$M$19-AJ19</f>
        <v>8005.610022859998</v>
      </c>
      <c r="AL19" s="373">
        <f t="shared" si="8"/>
        <v>104458.2111</v>
      </c>
      <c r="AM19" s="377">
        <f>H19*0.35</f>
        <v>4062.2637649999997</v>
      </c>
      <c r="AN19" s="373">
        <f>$H$19-$M$19-AM19</f>
        <v>7465.2320468599992</v>
      </c>
      <c r="AO19" s="373">
        <f t="shared" si="9"/>
        <v>116064.679</v>
      </c>
      <c r="AP19" s="377">
        <f>H19*0.35</f>
        <v>4062.2637649999997</v>
      </c>
      <c r="AQ19" s="373">
        <f>$H$19-$M$19-AP19</f>
        <v>7465.2320468599992</v>
      </c>
      <c r="AR19" s="373">
        <f t="shared" si="10"/>
        <v>127671.14689999999</v>
      </c>
      <c r="AS19" s="377">
        <f t="shared" si="19"/>
        <v>4062.2637649999997</v>
      </c>
      <c r="AT19" s="373">
        <f>$H$19-$M$19-AS19</f>
        <v>7465.2320468599992</v>
      </c>
      <c r="AU19" s="373">
        <f t="shared" si="11"/>
        <v>139277.61479999998</v>
      </c>
      <c r="AV19" s="377">
        <f t="shared" si="23"/>
        <v>4062.2637649999997</v>
      </c>
      <c r="AW19" s="373">
        <f>$H$19-$M$19-AV19</f>
        <v>7465.2320468599992</v>
      </c>
      <c r="AX19" s="371"/>
    </row>
    <row r="20" spans="1:50" s="233" customFormat="1" ht="30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21"/>
        <v>10026.726375999999</v>
      </c>
      <c r="I20" s="463">
        <v>0.57999999999999996</v>
      </c>
      <c r="J20" s="362">
        <v>7300</v>
      </c>
      <c r="K20" s="361">
        <f t="shared" si="12"/>
        <v>7282.9930169850659</v>
      </c>
      <c r="L20" s="390">
        <f t="shared" si="0"/>
        <v>7831.1752870807159</v>
      </c>
      <c r="M20" s="372">
        <f t="shared" si="13"/>
        <v>68.545794081599993</v>
      </c>
      <c r="N20" s="373">
        <f t="shared" si="14"/>
        <v>10026.726375999999</v>
      </c>
      <c r="O20" s="374">
        <f t="shared" si="25"/>
        <v>1505.3452751999998</v>
      </c>
      <c r="P20" s="373">
        <f>$H$20-$M$20-O20</f>
        <v>8452.8353067183998</v>
      </c>
      <c r="Q20" s="373">
        <f t="shared" si="15"/>
        <v>20053.452751999997</v>
      </c>
      <c r="R20" s="374">
        <f>H20*0.2</f>
        <v>2005.3452751999998</v>
      </c>
      <c r="S20" s="373">
        <f>$H$20-$M$20-R20</f>
        <v>7952.8353067183998</v>
      </c>
      <c r="T20" s="373">
        <f t="shared" si="1"/>
        <v>30080.179127999996</v>
      </c>
      <c r="U20" s="376">
        <f>(T20-25000)*0.27+(25000-Q20)*0.2</f>
        <v>2360.9578141599995</v>
      </c>
      <c r="V20" s="373">
        <f>$H$20-$M$20-U20</f>
        <v>7597.2227677583996</v>
      </c>
      <c r="W20" s="373">
        <f t="shared" si="2"/>
        <v>40106.905503999995</v>
      </c>
      <c r="X20" s="376">
        <f t="shared" si="3"/>
        <v>2707.2161215199999</v>
      </c>
      <c r="Y20" s="373">
        <f>$H$20-$M$20-X20</f>
        <v>7250.9644603983998</v>
      </c>
      <c r="Z20" s="373">
        <f t="shared" si="4"/>
        <v>50133.631879999994</v>
      </c>
      <c r="AA20" s="376">
        <f t="shared" si="16"/>
        <v>2707.2161215199999</v>
      </c>
      <c r="AB20" s="373">
        <f>$H$20-$M$20-AA20</f>
        <v>7250.9644603983998</v>
      </c>
      <c r="AC20" s="373">
        <f t="shared" si="5"/>
        <v>60160.358255999992</v>
      </c>
      <c r="AD20" s="376">
        <f t="shared" si="27"/>
        <v>2707.2161215199999</v>
      </c>
      <c r="AE20" s="373">
        <f>$H$20-$M$20-AD20</f>
        <v>7250.9644603983998</v>
      </c>
      <c r="AF20" s="373">
        <f t="shared" si="6"/>
        <v>70187.084631999984</v>
      </c>
      <c r="AG20" s="376">
        <f t="shared" si="28"/>
        <v>2707.2161215199999</v>
      </c>
      <c r="AH20" s="373">
        <f>$H$20-$M$20-AG20</f>
        <v>7250.9644603983998</v>
      </c>
      <c r="AI20" s="373">
        <f t="shared" si="7"/>
        <v>80213.81100799999</v>
      </c>
      <c r="AJ20" s="376">
        <f t="shared" ref="AJ20:AJ27" si="29">H20*0.27</f>
        <v>2707.2161215199999</v>
      </c>
      <c r="AK20" s="373">
        <f>$H$20-$M$20-AJ20</f>
        <v>7250.9644603983998</v>
      </c>
      <c r="AL20" s="373">
        <f t="shared" si="8"/>
        <v>90240.537383999996</v>
      </c>
      <c r="AM20" s="377">
        <f>(AL20-88000)*0.35+(88000-AI20)*0.27</f>
        <v>2886.4591122400011</v>
      </c>
      <c r="AN20" s="373">
        <f>$H$20-$M$20-AM20</f>
        <v>7071.7214696783976</v>
      </c>
      <c r="AO20" s="373">
        <f t="shared" si="9"/>
        <v>100267.26375999999</v>
      </c>
      <c r="AP20" s="377">
        <f>H20*0.35</f>
        <v>3509.3542315999994</v>
      </c>
      <c r="AQ20" s="373">
        <f>$H$20-$M$20-AP20</f>
        <v>6448.8263503183998</v>
      </c>
      <c r="AR20" s="373">
        <f t="shared" si="10"/>
        <v>110293.99013599998</v>
      </c>
      <c r="AS20" s="377">
        <f t="shared" si="19"/>
        <v>3509.3542315999994</v>
      </c>
      <c r="AT20" s="373">
        <f>$H$20-$M$20-AS20</f>
        <v>6448.8263503183998</v>
      </c>
      <c r="AU20" s="373">
        <f t="shared" si="11"/>
        <v>120320.71651199998</v>
      </c>
      <c r="AV20" s="377">
        <f t="shared" si="23"/>
        <v>3509.3542315999994</v>
      </c>
      <c r="AW20" s="373">
        <f>$H$20-$M$20-AV20</f>
        <v>6448.8263503183998</v>
      </c>
      <c r="AX20" s="371"/>
    </row>
    <row r="21" spans="1:50" s="233" customFormat="1" ht="30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21"/>
        <v>9747.9484599999996</v>
      </c>
      <c r="I21" s="363">
        <v>0.55000000000000004</v>
      </c>
      <c r="J21" s="362">
        <v>7100</v>
      </c>
      <c r="K21" s="361">
        <f t="shared" si="12"/>
        <v>7103.627305830666</v>
      </c>
      <c r="L21" s="390">
        <f t="shared" si="0"/>
        <v>7638.3089310007153</v>
      </c>
      <c r="M21" s="372">
        <f t="shared" si="13"/>
        <v>66.705859836000002</v>
      </c>
      <c r="N21" s="373">
        <f t="shared" si="14"/>
        <v>9747.9484599999996</v>
      </c>
      <c r="O21" s="378">
        <f>N21*0.15</f>
        <v>1462.1922689999999</v>
      </c>
      <c r="P21" s="373">
        <f>$H$21-$M$21-O21</f>
        <v>8219.0503311640005</v>
      </c>
      <c r="Q21" s="373">
        <f t="shared" si="15"/>
        <v>19495.896919999999</v>
      </c>
      <c r="R21" s="374">
        <f>(Q21-10000)*0.2+(10000-N21)*0.15</f>
        <v>1936.9871150000001</v>
      </c>
      <c r="S21" s="373">
        <f>$H$21-$M$21-R21</f>
        <v>7744.2554851639998</v>
      </c>
      <c r="T21" s="373">
        <f t="shared" si="1"/>
        <v>29243.845379999999</v>
      </c>
      <c r="U21" s="376">
        <f>(T21-25000)*0.27+(25000-Q21)*0.2</f>
        <v>2246.6588686</v>
      </c>
      <c r="V21" s="373">
        <f>$H$21-$M$21-U21</f>
        <v>7434.5837315640001</v>
      </c>
      <c r="W21" s="373">
        <f t="shared" si="2"/>
        <v>38991.793839999998</v>
      </c>
      <c r="X21" s="376">
        <f t="shared" si="3"/>
        <v>2631.9460841999999</v>
      </c>
      <c r="Y21" s="373">
        <f>$H$21-$M$21-X21</f>
        <v>7049.2965159639998</v>
      </c>
      <c r="Z21" s="373">
        <f t="shared" si="4"/>
        <v>48739.742299999998</v>
      </c>
      <c r="AA21" s="376">
        <f t="shared" si="16"/>
        <v>2631.9460841999999</v>
      </c>
      <c r="AB21" s="373">
        <f>$H$21-$M$21-AA21</f>
        <v>7049.2965159639998</v>
      </c>
      <c r="AC21" s="373">
        <f t="shared" si="5"/>
        <v>58487.690759999998</v>
      </c>
      <c r="AD21" s="376">
        <f t="shared" si="27"/>
        <v>2631.9460841999999</v>
      </c>
      <c r="AE21" s="373">
        <f>$H$21-$M$21-AD21</f>
        <v>7049.2965159639998</v>
      </c>
      <c r="AF21" s="373">
        <f t="shared" si="6"/>
        <v>68235.639219999997</v>
      </c>
      <c r="AG21" s="376">
        <f t="shared" si="28"/>
        <v>2631.9460841999999</v>
      </c>
      <c r="AH21" s="373">
        <f>$H$21-$M$21-AG21</f>
        <v>7049.2965159639998</v>
      </c>
      <c r="AI21" s="373">
        <f t="shared" si="7"/>
        <v>77983.587679999997</v>
      </c>
      <c r="AJ21" s="376">
        <f t="shared" si="29"/>
        <v>2631.9460841999999</v>
      </c>
      <c r="AK21" s="373">
        <f>$H$21-$M$21-AJ21</f>
        <v>7049.2965159639998</v>
      </c>
      <c r="AL21" s="373">
        <f t="shared" si="8"/>
        <v>87731.536139999997</v>
      </c>
      <c r="AM21" s="376">
        <f>H21*0.27</f>
        <v>2631.9460841999999</v>
      </c>
      <c r="AN21" s="373">
        <f>$H$21-$M$21-AM21</f>
        <v>7049.2965159639998</v>
      </c>
      <c r="AO21" s="373">
        <f t="shared" si="9"/>
        <v>97479.484599999996</v>
      </c>
      <c r="AP21" s="377">
        <f>(AO21-88000)*0.35+(88000-AL21)*0.27</f>
        <v>3390.3048521999995</v>
      </c>
      <c r="AQ21" s="373">
        <f>$H$21-$M$21-AP21</f>
        <v>6290.9377479640007</v>
      </c>
      <c r="AR21" s="373">
        <f t="shared" si="10"/>
        <v>107227.43306</v>
      </c>
      <c r="AS21" s="377">
        <f t="shared" si="19"/>
        <v>3411.7819609999997</v>
      </c>
      <c r="AT21" s="373">
        <f>$H$21-$M$21-AS21</f>
        <v>6269.460639164</v>
      </c>
      <c r="AU21" s="373">
        <f t="shared" si="11"/>
        <v>116975.38152</v>
      </c>
      <c r="AV21" s="377">
        <f t="shared" si="23"/>
        <v>3411.7819609999997</v>
      </c>
      <c r="AW21" s="373">
        <f>$H$21-$M$21-AV21</f>
        <v>6269.460639164</v>
      </c>
      <c r="AX21" s="371"/>
    </row>
    <row r="22" spans="1:50" s="233" customFormat="1" ht="30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21"/>
        <v>9376.2445719999996</v>
      </c>
      <c r="I22" s="463">
        <v>0.51</v>
      </c>
      <c r="J22" s="362">
        <v>6900</v>
      </c>
      <c r="K22" s="361">
        <f t="shared" si="12"/>
        <v>6864.4730242914638</v>
      </c>
      <c r="L22" s="390">
        <f t="shared" si="0"/>
        <v>7381.1537895607134</v>
      </c>
      <c r="M22" s="372">
        <f t="shared" si="13"/>
        <v>64.252614175199994</v>
      </c>
      <c r="N22" s="373">
        <f t="shared" si="14"/>
        <v>9376.2445719999996</v>
      </c>
      <c r="O22" s="378">
        <f>N22*0.15</f>
        <v>1406.4366857999999</v>
      </c>
      <c r="P22" s="373">
        <f>$H$22-$M$22-O22</f>
        <v>7905.5552720247997</v>
      </c>
      <c r="Q22" s="373">
        <f t="shared" si="15"/>
        <v>18752.489143999999</v>
      </c>
      <c r="R22" s="374">
        <f>(Q22-10000)*0.2+(10000-N22)*0.15</f>
        <v>1844.0611430000001</v>
      </c>
      <c r="S22" s="373">
        <f>$H$22-$M$22-R22</f>
        <v>7467.9308148247992</v>
      </c>
      <c r="T22" s="373">
        <f t="shared" si="1"/>
        <v>28128.733715999999</v>
      </c>
      <c r="U22" s="376">
        <f>(T22-25000)*0.27+(25000-Q22)*0.2</f>
        <v>2094.2602745200002</v>
      </c>
      <c r="V22" s="373">
        <f>$H$22-$M$22-U22</f>
        <v>7217.7316833047989</v>
      </c>
      <c r="W22" s="373">
        <f t="shared" si="2"/>
        <v>37504.978287999998</v>
      </c>
      <c r="X22" s="376">
        <f t="shared" si="3"/>
        <v>2531.5860344400003</v>
      </c>
      <c r="Y22" s="373">
        <f>$H$22-$M$22-X22</f>
        <v>6780.4059233847984</v>
      </c>
      <c r="Z22" s="373">
        <f t="shared" si="4"/>
        <v>46881.222859999994</v>
      </c>
      <c r="AA22" s="376">
        <f t="shared" si="16"/>
        <v>2531.5860344400003</v>
      </c>
      <c r="AB22" s="373">
        <f>$H$22-$M$22-AA22</f>
        <v>6780.4059233847984</v>
      </c>
      <c r="AC22" s="373">
        <f t="shared" si="5"/>
        <v>56257.467431999998</v>
      </c>
      <c r="AD22" s="376">
        <f t="shared" si="27"/>
        <v>2531.5860344400003</v>
      </c>
      <c r="AE22" s="373">
        <f>$H$22-$M$22-AD22</f>
        <v>6780.4059233847984</v>
      </c>
      <c r="AF22" s="373">
        <f t="shared" si="6"/>
        <v>65633.712004000001</v>
      </c>
      <c r="AG22" s="376">
        <f t="shared" si="28"/>
        <v>2531.5860344400003</v>
      </c>
      <c r="AH22" s="373">
        <f>$H$22-$M$22-AG22</f>
        <v>6780.4059233847984</v>
      </c>
      <c r="AI22" s="373">
        <f t="shared" si="7"/>
        <v>75009.956575999997</v>
      </c>
      <c r="AJ22" s="376">
        <f t="shared" si="29"/>
        <v>2531.5860344400003</v>
      </c>
      <c r="AK22" s="373">
        <f>$H$22-$M$22-AJ22</f>
        <v>6780.4059233847984</v>
      </c>
      <c r="AL22" s="373">
        <f t="shared" si="8"/>
        <v>84386.201147999993</v>
      </c>
      <c r="AM22" s="377">
        <f>(AL22-88000)*0.35+(88000-AI22)*0.27</f>
        <v>2242.4821262799987</v>
      </c>
      <c r="AN22" s="373">
        <f>$H$22-$M$22-AM22</f>
        <v>7069.5098315448004</v>
      </c>
      <c r="AO22" s="373">
        <f t="shared" si="9"/>
        <v>93762.445719999989</v>
      </c>
      <c r="AP22" s="377">
        <f>H22*0.35</f>
        <v>3281.6856001999995</v>
      </c>
      <c r="AQ22" s="373">
        <f>$H$22-$M$22-AP22</f>
        <v>6030.3063576247996</v>
      </c>
      <c r="AR22" s="373">
        <f t="shared" si="10"/>
        <v>103138.690292</v>
      </c>
      <c r="AS22" s="377">
        <f t="shared" si="19"/>
        <v>3281.6856001999995</v>
      </c>
      <c r="AT22" s="373">
        <f>$H$22-$M$22-AS22</f>
        <v>6030.3063576247996</v>
      </c>
      <c r="AU22" s="373">
        <f t="shared" si="11"/>
        <v>112514.934864</v>
      </c>
      <c r="AV22" s="377">
        <f t="shared" si="23"/>
        <v>3281.6856001999995</v>
      </c>
      <c r="AW22" s="373">
        <f>$H$22-$M$22-AV22</f>
        <v>6030.3063576247996</v>
      </c>
      <c r="AX22" s="371"/>
    </row>
    <row r="23" spans="1:50" s="233" customFormat="1" ht="30" customHeight="1" x14ac:dyDescent="0.45">
      <c r="A23" s="730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21"/>
        <v>6309.6874959999996</v>
      </c>
      <c r="I23" s="464">
        <v>0.18</v>
      </c>
      <c r="J23" s="362">
        <v>4900</v>
      </c>
      <c r="K23" s="361">
        <f t="shared" si="12"/>
        <v>4809.5585346064008</v>
      </c>
      <c r="L23" s="390">
        <f t="shared" si="0"/>
        <v>5171.5683167810757</v>
      </c>
      <c r="M23" s="372">
        <f t="shared" si="13"/>
        <v>44.013337473599996</v>
      </c>
      <c r="N23" s="373">
        <f t="shared" si="14"/>
        <v>6309.6874959999996</v>
      </c>
      <c r="O23" s="378">
        <f>N23*0.15</f>
        <v>946.45312439999987</v>
      </c>
      <c r="P23" s="373">
        <f>$H$23-$M$23-O23</f>
        <v>5319.2210341263999</v>
      </c>
      <c r="Q23" s="373">
        <f t="shared" si="15"/>
        <v>12619.374991999999</v>
      </c>
      <c r="R23" s="374">
        <f>(Q23-10000)*0.2+(10000-N23)*0.15</f>
        <v>1077.4218739999999</v>
      </c>
      <c r="S23" s="373">
        <f>$H$23-$M$23-R23</f>
        <v>5188.2522845264002</v>
      </c>
      <c r="T23" s="373">
        <f t="shared" si="1"/>
        <v>18929.062488</v>
      </c>
      <c r="U23" s="376">
        <f>H23*0.2</f>
        <v>1261.9374992</v>
      </c>
      <c r="V23" s="373">
        <f>$H$23-$M$23-U23</f>
        <v>5003.7366593263996</v>
      </c>
      <c r="W23" s="373">
        <f t="shared" si="2"/>
        <v>25238.749983999998</v>
      </c>
      <c r="X23" s="376">
        <f>(W23-25000)*0.27+(25000-T23)*0.2</f>
        <v>1278.6499980799997</v>
      </c>
      <c r="Y23" s="373">
        <f>$H$23-$M$23-X23</f>
        <v>4987.0241604463999</v>
      </c>
      <c r="Z23" s="373">
        <f t="shared" si="4"/>
        <v>31548.437479999997</v>
      </c>
      <c r="AA23" s="376">
        <f t="shared" si="16"/>
        <v>1703.61562392</v>
      </c>
      <c r="AB23" s="373">
        <f>$H$23-$M$23-AA23</f>
        <v>4562.0585346063999</v>
      </c>
      <c r="AC23" s="373">
        <f t="shared" si="5"/>
        <v>37858.124975999999</v>
      </c>
      <c r="AD23" s="376">
        <f t="shared" si="27"/>
        <v>1703.61562392</v>
      </c>
      <c r="AE23" s="373">
        <f>$H$23-$M$23-AD23</f>
        <v>4562.0585346063999</v>
      </c>
      <c r="AF23" s="373">
        <f t="shared" si="6"/>
        <v>44167.812471999998</v>
      </c>
      <c r="AG23" s="376">
        <f t="shared" si="28"/>
        <v>1703.61562392</v>
      </c>
      <c r="AH23" s="373">
        <f>$H$23-$M$23-AG23</f>
        <v>4562.0585346063999</v>
      </c>
      <c r="AI23" s="373">
        <f t="shared" si="7"/>
        <v>50477.499967999996</v>
      </c>
      <c r="AJ23" s="376">
        <f t="shared" si="29"/>
        <v>1703.61562392</v>
      </c>
      <c r="AK23" s="373">
        <f>$H$23-$M$23-AJ23</f>
        <v>4562.0585346063999</v>
      </c>
      <c r="AL23" s="373">
        <f t="shared" si="8"/>
        <v>56787.187463999995</v>
      </c>
      <c r="AM23" s="376">
        <f>H23*0.27</f>
        <v>1703.61562392</v>
      </c>
      <c r="AN23" s="373">
        <f>$H$23-$M$23-AM23</f>
        <v>4562.0585346063999</v>
      </c>
      <c r="AO23" s="373">
        <f t="shared" si="9"/>
        <v>63096.874959999994</v>
      </c>
      <c r="AP23" s="376">
        <f>H23*0.27</f>
        <v>1703.61562392</v>
      </c>
      <c r="AQ23" s="373">
        <f>$H$23-$M$23-AP23</f>
        <v>4562.0585346063999</v>
      </c>
      <c r="AR23" s="373">
        <f t="shared" si="10"/>
        <v>69406.562456</v>
      </c>
      <c r="AS23" s="376">
        <f>H23*0.27</f>
        <v>1703.61562392</v>
      </c>
      <c r="AT23" s="373">
        <f>$H$23-$M$23-AS23</f>
        <v>4562.0585346063999</v>
      </c>
      <c r="AU23" s="373">
        <f t="shared" si="11"/>
        <v>75716.249951999998</v>
      </c>
      <c r="AV23" s="376">
        <f t="shared" ref="AV23:AV27" si="30">H23*0.27</f>
        <v>1703.61562392</v>
      </c>
      <c r="AW23" s="373">
        <f>$H$23-$M$23-AV23</f>
        <v>4562.0585346063999</v>
      </c>
      <c r="AX23" s="371"/>
    </row>
    <row r="24" spans="1:50" s="233" customFormat="1" ht="30" customHeight="1" x14ac:dyDescent="0.45">
      <c r="A24" s="731" t="s">
        <v>172</v>
      </c>
      <c r="B24" s="348" t="s">
        <v>282</v>
      </c>
      <c r="C24" s="317">
        <v>125</v>
      </c>
      <c r="D24" s="238">
        <v>3330.68</v>
      </c>
      <c r="E24" s="238">
        <v>4163.3499999999995</v>
      </c>
      <c r="F24" s="238">
        <f t="shared" ref="F24:F27" si="31">D24+E24</f>
        <v>7494.0299999999988</v>
      </c>
      <c r="G24" s="233">
        <v>359</v>
      </c>
      <c r="H24" s="353">
        <f t="shared" si="21"/>
        <v>6495.1231049999997</v>
      </c>
      <c r="I24" s="463">
        <v>0.91</v>
      </c>
      <c r="J24" s="362">
        <v>5000</v>
      </c>
      <c r="K24" s="361">
        <f t="shared" si="12"/>
        <v>4943.7026541570003</v>
      </c>
      <c r="L24" s="390">
        <f t="shared" si="0"/>
        <v>5315.8093055451618</v>
      </c>
      <c r="M24" s="372">
        <f t="shared" si="13"/>
        <v>45.237212492999994</v>
      </c>
      <c r="N24" s="373">
        <f t="shared" si="14"/>
        <v>6495.1231049999997</v>
      </c>
      <c r="O24" s="378">
        <f t="shared" ref="O24:O28" si="32">N24*0.15</f>
        <v>974.2684657499999</v>
      </c>
      <c r="P24" s="373">
        <f>$H$24-$M$24-O24</f>
        <v>5475.6174267570004</v>
      </c>
      <c r="Q24" s="373">
        <f t="shared" si="15"/>
        <v>12990.246209999999</v>
      </c>
      <c r="R24" s="374">
        <f>(Q24-10000)*0.2+(10000-N24)*0.15</f>
        <v>1123.7807762499999</v>
      </c>
      <c r="S24" s="373">
        <f>$H$24-$M$24-R24</f>
        <v>5326.1051162570002</v>
      </c>
      <c r="T24" s="373">
        <f t="shared" si="1"/>
        <v>19485.369315</v>
      </c>
      <c r="U24" s="374">
        <f>H24*0.2</f>
        <v>1299.024621</v>
      </c>
      <c r="V24" s="373">
        <f>$H$24-$M$24-U24</f>
        <v>5150.8612715069994</v>
      </c>
      <c r="W24" s="373">
        <f t="shared" si="2"/>
        <v>25980.492419999999</v>
      </c>
      <c r="X24" s="376">
        <f>(W24-25000)*0.27+(25000-T24)*0.2</f>
        <v>1367.6590903999997</v>
      </c>
      <c r="Y24" s="373">
        <f>$H$24-$M$24-X24</f>
        <v>5082.2268021070004</v>
      </c>
      <c r="Z24" s="373">
        <f t="shared" si="4"/>
        <v>32475.615524999997</v>
      </c>
      <c r="AA24" s="376">
        <f t="shared" si="16"/>
        <v>1753.68323835</v>
      </c>
      <c r="AB24" s="373">
        <f>$H$24-$M$24-AA24</f>
        <v>4696.2026541569994</v>
      </c>
      <c r="AC24" s="373">
        <f t="shared" si="5"/>
        <v>38970.73863</v>
      </c>
      <c r="AD24" s="376">
        <f t="shared" si="27"/>
        <v>1753.68323835</v>
      </c>
      <c r="AE24" s="373">
        <f>$H$24-$M$24-AD24</f>
        <v>4696.2026541569994</v>
      </c>
      <c r="AF24" s="373">
        <f t="shared" si="6"/>
        <v>45465.861734999999</v>
      </c>
      <c r="AG24" s="376">
        <f t="shared" si="28"/>
        <v>1753.68323835</v>
      </c>
      <c r="AH24" s="373">
        <f>$H$24-$M$24-AG24</f>
        <v>4696.2026541569994</v>
      </c>
      <c r="AI24" s="373">
        <f t="shared" si="7"/>
        <v>51960.984839999997</v>
      </c>
      <c r="AJ24" s="376">
        <f t="shared" si="29"/>
        <v>1753.68323835</v>
      </c>
      <c r="AK24" s="373">
        <f>$H$24-$M$24-AJ24</f>
        <v>4696.2026541569994</v>
      </c>
      <c r="AL24" s="373">
        <f t="shared" si="8"/>
        <v>58456.107944999996</v>
      </c>
      <c r="AM24" s="376">
        <f>H24*0.27</f>
        <v>1753.68323835</v>
      </c>
      <c r="AN24" s="373">
        <f>$H$24-$M$24-AM24</f>
        <v>4696.2026541569994</v>
      </c>
      <c r="AO24" s="373">
        <f t="shared" si="9"/>
        <v>64951.231049999995</v>
      </c>
      <c r="AP24" s="376">
        <f>H24*0.27</f>
        <v>1753.68323835</v>
      </c>
      <c r="AQ24" s="373">
        <f>$H$24-$M$24-AP24</f>
        <v>4696.2026541569994</v>
      </c>
      <c r="AR24" s="373">
        <f t="shared" si="10"/>
        <v>71446.354154999994</v>
      </c>
      <c r="AS24" s="376">
        <f>H24*0.27</f>
        <v>1753.68323835</v>
      </c>
      <c r="AT24" s="373">
        <f>$H$24-$M$24-AS24</f>
        <v>4696.2026541569994</v>
      </c>
      <c r="AU24" s="373">
        <f t="shared" si="11"/>
        <v>77941.47726</v>
      </c>
      <c r="AV24" s="376">
        <f t="shared" si="30"/>
        <v>1753.68323835</v>
      </c>
      <c r="AW24" s="373">
        <f>$H$24-$M$24-AV24</f>
        <v>4696.2026541569994</v>
      </c>
      <c r="AX24" s="371"/>
    </row>
    <row r="25" spans="1:50" s="233" customFormat="1" ht="30" customHeight="1" x14ac:dyDescent="0.45">
      <c r="A25" s="732"/>
      <c r="B25" s="348" t="s">
        <v>281</v>
      </c>
      <c r="C25" s="317">
        <v>125</v>
      </c>
      <c r="D25" s="238">
        <v>3330.68</v>
      </c>
      <c r="E25" s="238">
        <v>4163.3499999999995</v>
      </c>
      <c r="F25" s="238">
        <f t="shared" si="31"/>
        <v>7494.0299999999988</v>
      </c>
      <c r="G25" s="233">
        <v>359</v>
      </c>
      <c r="H25" s="353">
        <f t="shared" si="21"/>
        <v>5798.1783149999992</v>
      </c>
      <c r="I25" s="363">
        <v>0.73</v>
      </c>
      <c r="J25" s="362">
        <v>4500</v>
      </c>
      <c r="K25" s="361">
        <f>((P25+S25+V25+Y25+AB25+AE25+AH25+AK25+AN25+AQ25+AT25+AW25)/12)+60</f>
        <v>4513.7005066739994</v>
      </c>
      <c r="L25" s="390">
        <f t="shared" si="0"/>
        <v>4853.4414050258056</v>
      </c>
      <c r="M25" s="372">
        <f t="shared" si="13"/>
        <v>40.637376878999994</v>
      </c>
      <c r="N25" s="373">
        <f t="shared" si="14"/>
        <v>5798.1783149999992</v>
      </c>
      <c r="O25" s="378">
        <f t="shared" si="32"/>
        <v>869.7267472499999</v>
      </c>
      <c r="P25" s="373">
        <f>$H$24-$M$24-O25</f>
        <v>5580.1591452570001</v>
      </c>
      <c r="Q25" s="373">
        <f t="shared" si="15"/>
        <v>11596.356629999998</v>
      </c>
      <c r="R25" s="374">
        <f>(Q25-10000)*0.2+(10000-N25)*0.15</f>
        <v>949.5445787499998</v>
      </c>
      <c r="S25" s="373">
        <f>H25-M25-R25</f>
        <v>4807.9963593709999</v>
      </c>
      <c r="T25" s="373">
        <f t="shared" si="1"/>
        <v>17394.534944999999</v>
      </c>
      <c r="U25" s="374">
        <f>H25*0.2</f>
        <v>1159.6356629999998</v>
      </c>
      <c r="V25" s="373">
        <f>H25-M25-U25</f>
        <v>4597.9052751209992</v>
      </c>
      <c r="W25" s="373">
        <f t="shared" si="2"/>
        <v>23192.713259999997</v>
      </c>
      <c r="X25" s="374">
        <f>H25*0.2</f>
        <v>1159.6356629999998</v>
      </c>
      <c r="Y25" s="373">
        <f>H25-M25-X25</f>
        <v>4597.9052751209992</v>
      </c>
      <c r="Z25" s="373">
        <f t="shared" si="4"/>
        <v>28990.891574999994</v>
      </c>
      <c r="AA25" s="376">
        <f>(Z25-25000)*0.27+(25000-W25)*0.2</f>
        <v>1438.9980732499992</v>
      </c>
      <c r="AB25" s="373">
        <f>H25-M25-AA25</f>
        <v>4318.5428648710003</v>
      </c>
      <c r="AC25" s="373">
        <f t="shared" si="5"/>
        <v>34789.069889999999</v>
      </c>
      <c r="AD25" s="376">
        <f t="shared" si="27"/>
        <v>1565.5081450499999</v>
      </c>
      <c r="AE25" s="373">
        <f>H25-M25-AD25</f>
        <v>4192.0327930709991</v>
      </c>
      <c r="AF25" s="373">
        <f t="shared" si="6"/>
        <v>40587.248204999996</v>
      </c>
      <c r="AG25" s="376">
        <f t="shared" si="28"/>
        <v>1565.5081450499999</v>
      </c>
      <c r="AH25" s="373">
        <f>H25-M25-AG25</f>
        <v>4192.0327930709991</v>
      </c>
      <c r="AI25" s="373">
        <f t="shared" si="7"/>
        <v>46385.426519999994</v>
      </c>
      <c r="AJ25" s="376">
        <f t="shared" si="29"/>
        <v>1565.5081450499999</v>
      </c>
      <c r="AK25" s="373">
        <f>H25-M25-AJ25</f>
        <v>4192.0327930709991</v>
      </c>
      <c r="AL25" s="373">
        <f t="shared" si="8"/>
        <v>52183.604834999991</v>
      </c>
      <c r="AM25" s="376">
        <f>H25*0.27</f>
        <v>1565.5081450499999</v>
      </c>
      <c r="AN25" s="373">
        <f>H25-M25-AM25</f>
        <v>4192.0327930709991</v>
      </c>
      <c r="AO25" s="373">
        <f t="shared" si="9"/>
        <v>57981.783149999988</v>
      </c>
      <c r="AP25" s="376">
        <f>H25*0.27</f>
        <v>1565.5081450499999</v>
      </c>
      <c r="AQ25" s="373">
        <f>H25-M25-$AP$26</f>
        <v>4389.7004019209999</v>
      </c>
      <c r="AR25" s="373">
        <f t="shared" si="10"/>
        <v>63779.961464999993</v>
      </c>
      <c r="AS25" s="376">
        <f>H25*0.27</f>
        <v>1565.5081450499999</v>
      </c>
      <c r="AT25" s="373">
        <f>H25-M25-AS25</f>
        <v>4192.0327930709991</v>
      </c>
      <c r="AU25" s="373">
        <f t="shared" si="11"/>
        <v>69578.139779999998</v>
      </c>
      <c r="AV25" s="376">
        <f t="shared" si="30"/>
        <v>1565.5081450499999</v>
      </c>
      <c r="AW25" s="373">
        <f>H25-M25-AV25</f>
        <v>4192.0327930709991</v>
      </c>
      <c r="AX25" s="371"/>
    </row>
    <row r="26" spans="1:50" s="233" customFormat="1" ht="30" customHeight="1" x14ac:dyDescent="0.45">
      <c r="A26" s="732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31"/>
        <v>7494.0299999999988</v>
      </c>
      <c r="G26" s="233">
        <v>278</v>
      </c>
      <c r="H26" s="353">
        <f>D26+E26*$H$5*$I26-G26</f>
        <v>5066.0760599999994</v>
      </c>
      <c r="I26" s="391">
        <v>0.52</v>
      </c>
      <c r="J26" s="362">
        <v>4000</v>
      </c>
      <c r="K26" s="361">
        <f t="shared" si="12"/>
        <v>3910.4646218039993</v>
      </c>
      <c r="L26" s="390">
        <f t="shared" si="0"/>
        <v>4204.8006686064509</v>
      </c>
      <c r="M26" s="372">
        <f t="shared" si="13"/>
        <v>35.270901995999999</v>
      </c>
      <c r="N26" s="373">
        <f t="shared" si="14"/>
        <v>5066.0760599999994</v>
      </c>
      <c r="O26" s="378">
        <f t="shared" si="32"/>
        <v>759.91140899999994</v>
      </c>
      <c r="P26" s="373">
        <f>H26-M26-O26</f>
        <v>4270.8937490039989</v>
      </c>
      <c r="Q26" s="373">
        <f t="shared" si="15"/>
        <v>10132.152119999999</v>
      </c>
      <c r="R26" s="374">
        <f t="shared" ref="R26" si="33">(Q26-10000)*0.2+(10000-N26)*0.15</f>
        <v>766.51901499999985</v>
      </c>
      <c r="S26" s="373">
        <f>H26-M26-R26</f>
        <v>4264.2861430039993</v>
      </c>
      <c r="T26" s="373">
        <f t="shared" si="1"/>
        <v>15198.228179999998</v>
      </c>
      <c r="U26" s="374">
        <f>H26*0.2</f>
        <v>1013.215212</v>
      </c>
      <c r="V26" s="373">
        <f>H26-M26-U26</f>
        <v>4017.5899460039991</v>
      </c>
      <c r="W26" s="373">
        <f t="shared" si="2"/>
        <v>20264.304239999998</v>
      </c>
      <c r="X26" s="374">
        <f>H26*0.2</f>
        <v>1013.215212</v>
      </c>
      <c r="Y26" s="373">
        <f>H26-M26-X26</f>
        <v>4017.5899460039991</v>
      </c>
      <c r="Z26" s="373">
        <f t="shared" si="4"/>
        <v>25330.380299999997</v>
      </c>
      <c r="AA26" s="376">
        <f>(Z26-25000)*0.27+(25000-W26)*0.2</f>
        <v>1036.3418329999997</v>
      </c>
      <c r="AB26" s="373">
        <f>H26-M26-AA26</f>
        <v>3994.4633250039997</v>
      </c>
      <c r="AC26" s="373">
        <f t="shared" si="5"/>
        <v>30396.456359999996</v>
      </c>
      <c r="AD26" s="376">
        <f t="shared" si="27"/>
        <v>1367.8405361999999</v>
      </c>
      <c r="AE26" s="373">
        <f>H26-M26-AD26</f>
        <v>3662.9646218039993</v>
      </c>
      <c r="AF26" s="373">
        <f t="shared" si="6"/>
        <v>35462.532419999996</v>
      </c>
      <c r="AG26" s="376">
        <f t="shared" si="28"/>
        <v>1367.8405361999999</v>
      </c>
      <c r="AH26" s="373">
        <f>H26-M26-AG26</f>
        <v>3662.9646218039993</v>
      </c>
      <c r="AI26" s="373">
        <f t="shared" si="7"/>
        <v>40528.608479999995</v>
      </c>
      <c r="AJ26" s="376">
        <f t="shared" si="29"/>
        <v>1367.8405361999999</v>
      </c>
      <c r="AK26" s="373">
        <f>H26-M26-AJ26</f>
        <v>3662.9646218039993</v>
      </c>
      <c r="AL26" s="373">
        <f t="shared" si="8"/>
        <v>45594.684539999995</v>
      </c>
      <c r="AM26" s="376">
        <f>H26*0.27</f>
        <v>1367.8405361999999</v>
      </c>
      <c r="AN26" s="373">
        <f>H26-M26-AM26</f>
        <v>3662.9646218039993</v>
      </c>
      <c r="AO26" s="373">
        <f t="shared" si="9"/>
        <v>50660.760599999994</v>
      </c>
      <c r="AP26" s="376">
        <f>H26*0.27</f>
        <v>1367.8405361999999</v>
      </c>
      <c r="AQ26" s="373">
        <f>H26-M26-$AP$26</f>
        <v>3662.9646218039993</v>
      </c>
      <c r="AR26" s="373">
        <f t="shared" si="10"/>
        <v>55726.836659999994</v>
      </c>
      <c r="AS26" s="376">
        <f>H26*0.27</f>
        <v>1367.8405361999999</v>
      </c>
      <c r="AT26" s="373">
        <f>H26-M26-AS26</f>
        <v>3662.9646218039993</v>
      </c>
      <c r="AU26" s="373">
        <f t="shared" si="11"/>
        <v>60792.912719999993</v>
      </c>
      <c r="AV26" s="376">
        <f t="shared" si="30"/>
        <v>1367.8405361999999</v>
      </c>
      <c r="AW26" s="373">
        <f>H26-M26-AV26</f>
        <v>3662.9646218039993</v>
      </c>
      <c r="AX26" s="371"/>
    </row>
    <row r="27" spans="1:50" s="233" customFormat="1" ht="30" customHeight="1" x14ac:dyDescent="0.45">
      <c r="A27" s="733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31"/>
        <v>7494.0299999999988</v>
      </c>
      <c r="G27" s="233">
        <v>278</v>
      </c>
      <c r="H27" s="353">
        <f t="shared" si="21"/>
        <v>3749.6247899999998</v>
      </c>
      <c r="I27" s="391">
        <v>0.18</v>
      </c>
      <c r="J27" s="362">
        <v>3000</v>
      </c>
      <c r="K27" s="361">
        <f t="shared" si="12"/>
        <v>2928.5236195109992</v>
      </c>
      <c r="L27" s="390">
        <f t="shared" si="0"/>
        <v>3148.9501285064507</v>
      </c>
      <c r="M27" s="372">
        <f t="shared" si="13"/>
        <v>26.582323614</v>
      </c>
      <c r="N27" s="373">
        <f t="shared" si="14"/>
        <v>3749.6247899999998</v>
      </c>
      <c r="O27" s="378">
        <f t="shared" si="32"/>
        <v>562.44371849999993</v>
      </c>
      <c r="P27" s="373">
        <f>H27-M27-O27</f>
        <v>3160.5987478859997</v>
      </c>
      <c r="Q27" s="373">
        <f t="shared" si="15"/>
        <v>7499.2495799999997</v>
      </c>
      <c r="R27" s="378">
        <f>H27*0.15</f>
        <v>562.44371849999993</v>
      </c>
      <c r="S27" s="373">
        <f>H27-M27-R27</f>
        <v>3160.5987478859997</v>
      </c>
      <c r="T27" s="373">
        <f t="shared" si="1"/>
        <v>11248.87437</v>
      </c>
      <c r="U27" s="374">
        <f>(T27-10000)*0.2+(10000-Q27)*0.15</f>
        <v>624.88743699999998</v>
      </c>
      <c r="V27" s="373">
        <f>H27-M27-U27</f>
        <v>3098.155029386</v>
      </c>
      <c r="W27" s="373">
        <f t="shared" si="2"/>
        <v>14998.499159999999</v>
      </c>
      <c r="X27" s="374">
        <f>H27*0.2</f>
        <v>749.92495800000006</v>
      </c>
      <c r="Y27" s="373">
        <f>H27-M27-X27</f>
        <v>2973.1175083859998</v>
      </c>
      <c r="Z27" s="373">
        <f t="shared" si="4"/>
        <v>18748.123950000001</v>
      </c>
      <c r="AA27" s="374">
        <f>H27*0.2</f>
        <v>749.92495800000006</v>
      </c>
      <c r="AB27" s="373">
        <f>H27-M27-AA27</f>
        <v>2973.1175083859998</v>
      </c>
      <c r="AC27" s="373">
        <f t="shared" si="5"/>
        <v>22497.748739999999</v>
      </c>
      <c r="AD27" s="374">
        <f>H27*0.2</f>
        <v>749.92495800000006</v>
      </c>
      <c r="AE27" s="373">
        <f>H27-M27-AD27</f>
        <v>2973.1175083859998</v>
      </c>
      <c r="AF27" s="373">
        <f t="shared" si="6"/>
        <v>26247.373529999997</v>
      </c>
      <c r="AG27" s="376">
        <f>(AF27-25000)*0.27+(25000-AC27)*0.2</f>
        <v>837.24110509999946</v>
      </c>
      <c r="AH27" s="373">
        <f>H27-M27-AG27</f>
        <v>2885.8013612860004</v>
      </c>
      <c r="AI27" s="373">
        <f t="shared" si="7"/>
        <v>29996.998319999999</v>
      </c>
      <c r="AJ27" s="376">
        <f t="shared" si="29"/>
        <v>1012.3986933</v>
      </c>
      <c r="AK27" s="373">
        <f>H27-M27-AJ27</f>
        <v>2710.6437730859998</v>
      </c>
      <c r="AL27" s="373">
        <f t="shared" si="8"/>
        <v>33746.62311</v>
      </c>
      <c r="AM27" s="376">
        <f>H27*0.27</f>
        <v>1012.3986933</v>
      </c>
      <c r="AN27" s="373">
        <f>H27-M27-AM27</f>
        <v>2710.6437730859998</v>
      </c>
      <c r="AO27" s="373">
        <f t="shared" si="9"/>
        <v>37496.247900000002</v>
      </c>
      <c r="AP27" s="376">
        <f>H27*0.27</f>
        <v>1012.3986933</v>
      </c>
      <c r="AQ27" s="373">
        <f>H27-M27-$AP$26</f>
        <v>2355.201930186</v>
      </c>
      <c r="AR27" s="373">
        <f t="shared" si="10"/>
        <v>41245.872689999997</v>
      </c>
      <c r="AS27" s="376">
        <f>H27*0.27</f>
        <v>1012.3986933</v>
      </c>
      <c r="AT27" s="373">
        <f>H27-M27-AS27</f>
        <v>2710.6437730859998</v>
      </c>
      <c r="AU27" s="373">
        <f t="shared" si="11"/>
        <v>44995.497479999998</v>
      </c>
      <c r="AV27" s="376">
        <f t="shared" si="30"/>
        <v>1012.3986933</v>
      </c>
      <c r="AW27" s="373">
        <f>H27-M27-AV27</f>
        <v>2710.6437730859998</v>
      </c>
      <c r="AX27" s="371"/>
    </row>
    <row r="28" spans="1:50" s="233" customFormat="1" ht="28.5" x14ac:dyDescent="0.45">
      <c r="A28" s="754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21"/>
        <v>2223.6737480000002</v>
      </c>
      <c r="I28" s="391">
        <v>0.54</v>
      </c>
      <c r="J28" s="362">
        <v>1795</v>
      </c>
      <c r="K28" s="361">
        <f t="shared" si="12"/>
        <v>1777.3453070865335</v>
      </c>
      <c r="L28" s="390">
        <f t="shared" si="0"/>
        <v>1911.1239861145521</v>
      </c>
      <c r="M28" s="372">
        <f t="shared" si="13"/>
        <v>16.511046736800001</v>
      </c>
      <c r="N28" s="373">
        <f t="shared" si="14"/>
        <v>2223.6737480000002</v>
      </c>
      <c r="O28" s="378">
        <f t="shared" si="32"/>
        <v>333.55106219999999</v>
      </c>
      <c r="P28" s="373">
        <f>H28-M28-O28</f>
        <v>1873.6116390632003</v>
      </c>
      <c r="Q28" s="373">
        <f t="shared" si="15"/>
        <v>4447.3474960000003</v>
      </c>
      <c r="R28" s="378">
        <f>H28*0.15</f>
        <v>333.55106219999999</v>
      </c>
      <c r="S28" s="373">
        <f>H28-M28-R28</f>
        <v>1873.6116390632003</v>
      </c>
      <c r="T28" s="373">
        <f t="shared" si="1"/>
        <v>6671.0212440000005</v>
      </c>
      <c r="U28" s="378">
        <f>H28*0.15</f>
        <v>333.55106219999999</v>
      </c>
      <c r="V28" s="373">
        <f>H28-M28-U28</f>
        <v>1873.6116390632003</v>
      </c>
      <c r="W28" s="373">
        <f t="shared" si="2"/>
        <v>8894.6949920000006</v>
      </c>
      <c r="X28" s="378">
        <f>H28*0.15</f>
        <v>333.55106219999999</v>
      </c>
      <c r="Y28" s="373">
        <f>H28-M28-X28</f>
        <v>1873.6116390632003</v>
      </c>
      <c r="Z28" s="373">
        <f t="shared" si="4"/>
        <v>11118.368740000002</v>
      </c>
      <c r="AA28" s="374">
        <f>(Z28-10000)*0.2+(10000-W28)*0.15</f>
        <v>389.46949920000026</v>
      </c>
      <c r="AB28" s="373">
        <f>H28-M28-AA28</f>
        <v>1817.6932020632</v>
      </c>
      <c r="AC28" s="373">
        <f t="shared" si="5"/>
        <v>13342.042488000001</v>
      </c>
      <c r="AD28" s="374">
        <f>H28*0.2</f>
        <v>444.73474960000004</v>
      </c>
      <c r="AE28" s="373">
        <f>H28-M28-AD28</f>
        <v>1762.4279516632002</v>
      </c>
      <c r="AF28" s="373">
        <f t="shared" si="6"/>
        <v>15565.716236</v>
      </c>
      <c r="AG28" s="374">
        <f>H28*0.2</f>
        <v>444.73474960000004</v>
      </c>
      <c r="AH28" s="373">
        <f>H28-M28-AG28</f>
        <v>1762.4279516632002</v>
      </c>
      <c r="AI28" s="373">
        <f t="shared" si="7"/>
        <v>17789.389984000001</v>
      </c>
      <c r="AJ28" s="374">
        <f>H28*0.2</f>
        <v>444.73474960000004</v>
      </c>
      <c r="AK28" s="373">
        <f>H28-M28-AJ28</f>
        <v>1762.4279516632002</v>
      </c>
      <c r="AL28" s="373">
        <f t="shared" si="8"/>
        <v>20013.063732000002</v>
      </c>
      <c r="AM28" s="374">
        <f>H28*0.2</f>
        <v>444.73474960000004</v>
      </c>
      <c r="AN28" s="373">
        <f>H28-M28-AM28</f>
        <v>1762.4279516632002</v>
      </c>
      <c r="AO28" s="373">
        <f t="shared" si="9"/>
        <v>22236.737480000003</v>
      </c>
      <c r="AP28" s="374">
        <f>H28*0.2</f>
        <v>444.73474960000004</v>
      </c>
      <c r="AQ28" s="373">
        <f>H28-M28-$AP$26</f>
        <v>839.32216506320037</v>
      </c>
      <c r="AR28" s="373">
        <f t="shared" si="10"/>
        <v>24460.411228000001</v>
      </c>
      <c r="AS28" s="374">
        <f>H28*0.2</f>
        <v>444.73474960000004</v>
      </c>
      <c r="AT28" s="373">
        <f>H28-M28-AS28</f>
        <v>1762.4279516632002</v>
      </c>
      <c r="AU28" s="373">
        <f t="shared" si="11"/>
        <v>26684.084976000002</v>
      </c>
      <c r="AV28" s="376">
        <f>(AU28-25000)*0.27+(25000-AR28)*0.2</f>
        <v>562.62069792000034</v>
      </c>
      <c r="AW28" s="373">
        <f>H28-M28-AV28</f>
        <v>1644.5420033431999</v>
      </c>
      <c r="AX28" s="371"/>
    </row>
    <row r="29" spans="1:50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1</v>
      </c>
      <c r="I29" s="363"/>
      <c r="J29" s="233"/>
      <c r="K29" s="361"/>
      <c r="L29" s="390"/>
      <c r="M29" s="372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5"/>
    </row>
    <row r="30" spans="1:50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34">D30+E30</f>
        <v>24980.1</v>
      </c>
      <c r="G30" s="233">
        <v>359</v>
      </c>
      <c r="H30" s="353">
        <f>D30+E30*$H$29*$I30-G30</f>
        <v>17626.671999999999</v>
      </c>
      <c r="I30" s="363">
        <v>0.65</v>
      </c>
      <c r="J30" s="362">
        <v>11900</v>
      </c>
      <c r="K30" s="361">
        <f t="shared" si="12"/>
        <v>12572.92258678333</v>
      </c>
      <c r="L30" s="390">
        <f>K30/0.94</f>
        <v>13375.449560407798</v>
      </c>
      <c r="M30" s="372">
        <f t="shared" si="13"/>
        <v>118.7054352</v>
      </c>
      <c r="N30" s="373">
        <f t="shared" si="14"/>
        <v>17626.671999999999</v>
      </c>
      <c r="O30" s="374">
        <f t="shared" ref="O30:O42" si="35">(N30-10000)*0.2+10000*0.15</f>
        <v>3025.3343999999997</v>
      </c>
      <c r="P30" s="373">
        <f t="shared" ref="P30:P54" si="36">H30-M30-O30</f>
        <v>14482.632164799998</v>
      </c>
      <c r="Q30" s="373">
        <f t="shared" si="15"/>
        <v>35253.343999999997</v>
      </c>
      <c r="R30" s="376">
        <f>(Q30-25000)*0.27+(25000-N30)*0.2</f>
        <v>4243.0684799999999</v>
      </c>
      <c r="S30" s="373">
        <f t="shared" ref="S30:S54" si="37">H30-M30-R30</f>
        <v>13264.898084799997</v>
      </c>
      <c r="T30" s="373">
        <f t="shared" ref="T30:T54" si="38">H30*3</f>
        <v>52880.015999999996</v>
      </c>
      <c r="U30" s="376">
        <f t="shared" ref="U30:U33" si="39">N30*0.27</f>
        <v>4759.2014399999998</v>
      </c>
      <c r="V30" s="373">
        <f t="shared" ref="V30:V54" si="40">H30-M30-U30</f>
        <v>12748.765124799997</v>
      </c>
      <c r="W30" s="373">
        <f t="shared" ref="W30:W54" si="41">H30*4</f>
        <v>70506.687999999995</v>
      </c>
      <c r="X30" s="376">
        <f t="shared" ref="X30:X37" si="42">H30*0.27</f>
        <v>4759.2014399999998</v>
      </c>
      <c r="Y30" s="373">
        <f t="shared" ref="Y30:Y54" si="43">H30-M30-X30</f>
        <v>12748.765124799997</v>
      </c>
      <c r="Z30" s="373">
        <f t="shared" ref="Z30:Z54" si="44">H30*5</f>
        <v>88133.359999999986</v>
      </c>
      <c r="AA30" s="376">
        <f t="shared" ref="AA30:AA50" si="45">H30*0.27</f>
        <v>4759.2014399999998</v>
      </c>
      <c r="AB30" s="373">
        <f t="shared" ref="AB30:AB54" si="46">H30-M30-AA30</f>
        <v>12748.765124799997</v>
      </c>
      <c r="AC30" s="373">
        <f t="shared" ref="AC30:AC54" si="47">H30*6</f>
        <v>105760.03199999999</v>
      </c>
      <c r="AD30" s="377">
        <f>(AC30-88000)*0.35+(88000-Z30)*0.27</f>
        <v>6180.0040000000008</v>
      </c>
      <c r="AE30" s="373">
        <f t="shared" ref="AE30:AE54" si="48">H30-M30-AD30</f>
        <v>11327.962564799996</v>
      </c>
      <c r="AF30" s="373">
        <f t="shared" ref="AF30:AF54" si="49">H30*7</f>
        <v>123386.704</v>
      </c>
      <c r="AG30" s="377">
        <f>H30*0.35</f>
        <v>6169.3351999999995</v>
      </c>
      <c r="AH30" s="373">
        <f t="shared" ref="AH30:AH54" si="50">H30-M30-AG30</f>
        <v>11338.631364799998</v>
      </c>
      <c r="AI30" s="373">
        <f t="shared" ref="AI30:AI54" si="51">H30*8</f>
        <v>141013.37599999999</v>
      </c>
      <c r="AJ30" s="377">
        <f>H30*0.35</f>
        <v>6169.3351999999995</v>
      </c>
      <c r="AK30" s="373">
        <f t="shared" ref="AK30:AK54" si="52">H30-M30-AJ30</f>
        <v>11338.631364799998</v>
      </c>
      <c r="AL30" s="373">
        <f t="shared" ref="AL30:AL54" si="53">H30*9</f>
        <v>158640.04799999998</v>
      </c>
      <c r="AM30" s="377">
        <f>H30*0.35</f>
        <v>6169.3351999999995</v>
      </c>
      <c r="AN30" s="373">
        <f t="shared" ref="AN30:AN54" si="54">H30-M30-AM30</f>
        <v>11338.631364799998</v>
      </c>
      <c r="AO30" s="373">
        <f t="shared" ref="AO30:AO54" si="55">H30*10</f>
        <v>176266.71999999997</v>
      </c>
      <c r="AP30" s="377">
        <f>H30*0.35</f>
        <v>6169.3351999999995</v>
      </c>
      <c r="AQ30" s="373">
        <f t="shared" ref="AQ30:AQ35" si="56">H30-M30-$AP$26</f>
        <v>16140.126028599998</v>
      </c>
      <c r="AR30" s="373">
        <f t="shared" ref="AR30:AR54" si="57">H30*11</f>
        <v>193893.39199999999</v>
      </c>
      <c r="AS30" s="377">
        <f t="shared" ref="AS30:AS37" si="58">H30*0.35</f>
        <v>6169.3351999999995</v>
      </c>
      <c r="AT30" s="373">
        <f t="shared" ref="AT30:AT54" si="59">H30-M30-AS30</f>
        <v>11338.631364799998</v>
      </c>
      <c r="AU30" s="373">
        <f t="shared" ref="AU30:AU54" si="60">H30*12</f>
        <v>211520.06399999998</v>
      </c>
      <c r="AV30" s="377">
        <f t="shared" ref="AV30:AV37" si="61">H30*0.35</f>
        <v>6169.3351999999995</v>
      </c>
      <c r="AW30" s="373">
        <f t="shared" ref="AW30:AW54" si="62">H30-M30-AV30</f>
        <v>11338.631364799998</v>
      </c>
      <c r="AX30" s="292"/>
    </row>
    <row r="31" spans="1:50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34"/>
        <v>24980.1</v>
      </c>
      <c r="G31" s="233">
        <v>359</v>
      </c>
      <c r="H31" s="353">
        <f t="shared" ref="H31:H54" si="63">D31+E31*$H$29*$I31-G31</f>
        <v>17626.671999999999</v>
      </c>
      <c r="I31" s="363">
        <v>0.65</v>
      </c>
      <c r="J31" s="362">
        <v>8000</v>
      </c>
      <c r="K31" s="361">
        <f t="shared" si="12"/>
        <v>12572.922586783336</v>
      </c>
      <c r="L31" s="390">
        <f t="shared" ref="L31:L54" si="64">K31/0.94</f>
        <v>13375.449560407804</v>
      </c>
      <c r="M31" s="372">
        <f t="shared" si="13"/>
        <v>118.7054352</v>
      </c>
      <c r="N31" s="373">
        <f t="shared" si="14"/>
        <v>17626.671999999999</v>
      </c>
      <c r="O31" s="374">
        <f t="shared" si="35"/>
        <v>3025.3343999999997</v>
      </c>
      <c r="P31" s="373">
        <f t="shared" si="36"/>
        <v>14482.632164799998</v>
      </c>
      <c r="Q31" s="373">
        <f t="shared" si="15"/>
        <v>35253.343999999997</v>
      </c>
      <c r="R31" s="374">
        <f>H31*0.2</f>
        <v>3525.3343999999997</v>
      </c>
      <c r="S31" s="373">
        <f t="shared" si="37"/>
        <v>13982.632164799998</v>
      </c>
      <c r="T31" s="373">
        <f t="shared" si="38"/>
        <v>52880.015999999996</v>
      </c>
      <c r="U31" s="376">
        <f>(T31-25000)*0.27+(25000-Q31)*0.2</f>
        <v>5476.93552</v>
      </c>
      <c r="V31" s="373">
        <f t="shared" si="40"/>
        <v>12031.031044799998</v>
      </c>
      <c r="W31" s="373">
        <f t="shared" si="41"/>
        <v>70506.687999999995</v>
      </c>
      <c r="X31" s="376">
        <f t="shared" si="42"/>
        <v>4759.2014399999998</v>
      </c>
      <c r="Y31" s="373">
        <f t="shared" si="43"/>
        <v>12748.765124799997</v>
      </c>
      <c r="Z31" s="373">
        <f t="shared" si="44"/>
        <v>88133.359999999986</v>
      </c>
      <c r="AA31" s="376">
        <f t="shared" si="45"/>
        <v>4759.2014399999998</v>
      </c>
      <c r="AB31" s="373">
        <f t="shared" si="46"/>
        <v>12748.765124799997</v>
      </c>
      <c r="AC31" s="373">
        <f t="shared" si="47"/>
        <v>105760.03199999999</v>
      </c>
      <c r="AD31" s="376">
        <f t="shared" ref="AD31:AD38" si="65">H31*0.27</f>
        <v>4759.2014399999998</v>
      </c>
      <c r="AE31" s="373">
        <f t="shared" si="48"/>
        <v>12748.765124799997</v>
      </c>
      <c r="AF31" s="373">
        <f t="shared" si="49"/>
        <v>123386.704</v>
      </c>
      <c r="AG31" s="376">
        <f>H31*0.27</f>
        <v>4759.2014399999998</v>
      </c>
      <c r="AH31" s="373">
        <f t="shared" si="50"/>
        <v>12748.765124799997</v>
      </c>
      <c r="AI31" s="373">
        <f t="shared" si="51"/>
        <v>141013.37599999999</v>
      </c>
      <c r="AJ31" s="376">
        <f>H31*0.27</f>
        <v>4759.2014399999998</v>
      </c>
      <c r="AK31" s="373">
        <f t="shared" si="52"/>
        <v>12748.765124799997</v>
      </c>
      <c r="AL31" s="373">
        <f t="shared" si="53"/>
        <v>158640.04799999998</v>
      </c>
      <c r="AM31" s="377">
        <f>(AL31-88000)*0.35+(88000-AI31)*0.27</f>
        <v>10410.405279999992</v>
      </c>
      <c r="AN31" s="373">
        <f t="shared" si="54"/>
        <v>7097.5612848000055</v>
      </c>
      <c r="AO31" s="373">
        <f t="shared" si="55"/>
        <v>176266.71999999997</v>
      </c>
      <c r="AP31" s="377">
        <f>H31*0.35</f>
        <v>6169.3351999999995</v>
      </c>
      <c r="AQ31" s="373">
        <f t="shared" si="56"/>
        <v>16140.126028599998</v>
      </c>
      <c r="AR31" s="373">
        <f t="shared" si="57"/>
        <v>193893.39199999999</v>
      </c>
      <c r="AS31" s="377">
        <f t="shared" si="58"/>
        <v>6169.3351999999995</v>
      </c>
      <c r="AT31" s="373">
        <f t="shared" si="59"/>
        <v>11338.631364799998</v>
      </c>
      <c r="AU31" s="373">
        <f t="shared" si="60"/>
        <v>211520.06399999998</v>
      </c>
      <c r="AV31" s="377">
        <f t="shared" si="61"/>
        <v>6169.3351999999995</v>
      </c>
      <c r="AW31" s="373">
        <f t="shared" si="62"/>
        <v>11338.631364799998</v>
      </c>
      <c r="AX31" s="292"/>
    </row>
    <row r="32" spans="1:50" ht="28.5" x14ac:dyDescent="0.45">
      <c r="A32" s="716"/>
      <c r="B32" s="458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63"/>
        <v>17626.671999999999</v>
      </c>
      <c r="I32" s="363">
        <v>0.65</v>
      </c>
      <c r="J32" s="362">
        <v>6844</v>
      </c>
      <c r="K32" s="361">
        <f t="shared" si="12"/>
        <v>13043.856240116669</v>
      </c>
      <c r="L32" s="390">
        <f t="shared" si="64"/>
        <v>13876.442808634754</v>
      </c>
      <c r="M32" s="372">
        <f t="shared" si="13"/>
        <v>118.7054352</v>
      </c>
      <c r="N32" s="373">
        <f t="shared" si="14"/>
        <v>17626.671999999999</v>
      </c>
      <c r="O32" s="378">
        <f t="shared" ref="O32" si="66">N32*0.15</f>
        <v>2644.0007999999998</v>
      </c>
      <c r="P32" s="373">
        <f t="shared" si="36"/>
        <v>14863.965764799997</v>
      </c>
      <c r="Q32" s="373">
        <f t="shared" si="15"/>
        <v>35253.343999999997</v>
      </c>
      <c r="R32" s="374">
        <f t="shared" ref="R32" si="67">(Q32-10000)*0.2+(10000-N32)*0.15</f>
        <v>3906.6679999999997</v>
      </c>
      <c r="S32" s="373">
        <f t="shared" si="37"/>
        <v>13601.298564799998</v>
      </c>
      <c r="T32" s="373">
        <f t="shared" si="38"/>
        <v>52880.015999999996</v>
      </c>
      <c r="U32" s="376">
        <f>(T32-25000)*0.27+(25000-Q32)*0.2</f>
        <v>5476.93552</v>
      </c>
      <c r="V32" s="373">
        <f t="shared" si="40"/>
        <v>12031.031044799998</v>
      </c>
      <c r="W32" s="373">
        <f t="shared" si="41"/>
        <v>70506.687999999995</v>
      </c>
      <c r="X32" s="376">
        <f t="shared" si="42"/>
        <v>4759.2014399999998</v>
      </c>
      <c r="Y32" s="373">
        <f t="shared" si="43"/>
        <v>12748.765124799997</v>
      </c>
      <c r="Z32" s="373">
        <f t="shared" si="44"/>
        <v>88133.359999999986</v>
      </c>
      <c r="AA32" s="376">
        <f t="shared" si="45"/>
        <v>4759.2014399999998</v>
      </c>
      <c r="AB32" s="373">
        <f t="shared" si="46"/>
        <v>12748.765124799997</v>
      </c>
      <c r="AC32" s="373">
        <f t="shared" si="47"/>
        <v>105760.03199999999</v>
      </c>
      <c r="AD32" s="376">
        <f t="shared" si="65"/>
        <v>4759.2014399999998</v>
      </c>
      <c r="AE32" s="373">
        <f t="shared" si="48"/>
        <v>12748.765124799997</v>
      </c>
      <c r="AF32" s="373">
        <f t="shared" si="49"/>
        <v>123386.704</v>
      </c>
      <c r="AG32" s="376">
        <f>H32*0.27</f>
        <v>4759.2014399999998</v>
      </c>
      <c r="AH32" s="373">
        <f t="shared" si="50"/>
        <v>12748.765124799997</v>
      </c>
      <c r="AI32" s="373">
        <f t="shared" si="51"/>
        <v>141013.37599999999</v>
      </c>
      <c r="AJ32" s="376">
        <f>H32*0.27</f>
        <v>4759.2014399999998</v>
      </c>
      <c r="AK32" s="373">
        <f t="shared" si="52"/>
        <v>12748.765124799997</v>
      </c>
      <c r="AL32" s="373">
        <f t="shared" si="53"/>
        <v>158640.04799999998</v>
      </c>
      <c r="AM32" s="376">
        <f>H32*0.27</f>
        <v>4759.2014399999998</v>
      </c>
      <c r="AN32" s="373">
        <f t="shared" si="54"/>
        <v>12748.765124799997</v>
      </c>
      <c r="AO32" s="373">
        <f t="shared" si="55"/>
        <v>176266.71999999997</v>
      </c>
      <c r="AP32" s="377">
        <f>(AO32-88000)*0.35+(88000-AL32)*0.27</f>
        <v>11820.539039999992</v>
      </c>
      <c r="AQ32" s="373">
        <f t="shared" si="56"/>
        <v>16140.126028599998</v>
      </c>
      <c r="AR32" s="373">
        <f t="shared" si="57"/>
        <v>193893.39199999999</v>
      </c>
      <c r="AS32" s="377">
        <f t="shared" si="58"/>
        <v>6169.3351999999995</v>
      </c>
      <c r="AT32" s="373">
        <f t="shared" si="59"/>
        <v>11338.631364799998</v>
      </c>
      <c r="AU32" s="373">
        <f t="shared" si="60"/>
        <v>211520.06399999998</v>
      </c>
      <c r="AV32" s="377">
        <f t="shared" si="61"/>
        <v>6169.3351999999995</v>
      </c>
      <c r="AW32" s="373">
        <f t="shared" si="62"/>
        <v>11338.631364799998</v>
      </c>
      <c r="AX32" s="292"/>
    </row>
    <row r="33" spans="1:50" s="345" customFormat="1" ht="28.5" x14ac:dyDescent="0.45">
      <c r="A33" s="716"/>
      <c r="B33" s="466" t="s">
        <v>32</v>
      </c>
      <c r="C33" s="467">
        <v>450</v>
      </c>
      <c r="D33" s="468">
        <v>4996.0199999999995</v>
      </c>
      <c r="E33" s="468">
        <v>14988.06</v>
      </c>
      <c r="F33" s="468">
        <f t="shared" si="34"/>
        <v>19984.079999999998</v>
      </c>
      <c r="G33" s="380">
        <v>359</v>
      </c>
      <c r="H33" s="469">
        <f t="shared" si="63"/>
        <v>14379.258999999998</v>
      </c>
      <c r="I33" s="363">
        <v>0.65</v>
      </c>
      <c r="J33" s="470">
        <v>9500</v>
      </c>
      <c r="K33" s="446">
        <f t="shared" si="12"/>
        <v>10388.820850083333</v>
      </c>
      <c r="L33" s="471">
        <f t="shared" si="64"/>
        <v>11051.937074556738</v>
      </c>
      <c r="M33" s="472">
        <f t="shared" si="13"/>
        <v>97.27250939999999</v>
      </c>
      <c r="N33" s="473">
        <f t="shared" si="14"/>
        <v>14379.258999999998</v>
      </c>
      <c r="O33" s="381">
        <f t="shared" si="35"/>
        <v>2375.8517999999995</v>
      </c>
      <c r="P33" s="473">
        <f t="shared" si="36"/>
        <v>11906.1346906</v>
      </c>
      <c r="Q33" s="473">
        <f t="shared" si="15"/>
        <v>28758.517999999996</v>
      </c>
      <c r="R33" s="382">
        <f>(Q33-25000)*0.27+(25000-N33)*0.2</f>
        <v>3138.9480599999997</v>
      </c>
      <c r="S33" s="473">
        <f t="shared" si="37"/>
        <v>11143.038430599998</v>
      </c>
      <c r="T33" s="473">
        <f t="shared" si="38"/>
        <v>43137.776999999995</v>
      </c>
      <c r="U33" s="382">
        <f t="shared" si="39"/>
        <v>3882.3999299999996</v>
      </c>
      <c r="V33" s="473">
        <f t="shared" si="40"/>
        <v>10399.586560599999</v>
      </c>
      <c r="W33" s="473">
        <f t="shared" si="41"/>
        <v>57517.035999999993</v>
      </c>
      <c r="X33" s="382">
        <f t="shared" si="42"/>
        <v>3882.3999299999996</v>
      </c>
      <c r="Y33" s="473">
        <f t="shared" si="43"/>
        <v>10399.586560599999</v>
      </c>
      <c r="Z33" s="473">
        <f t="shared" si="44"/>
        <v>71896.294999999984</v>
      </c>
      <c r="AA33" s="382">
        <f t="shared" si="45"/>
        <v>3882.3999299999996</v>
      </c>
      <c r="AB33" s="473">
        <f t="shared" si="46"/>
        <v>10399.586560599999</v>
      </c>
      <c r="AC33" s="473">
        <f t="shared" si="47"/>
        <v>86275.553999999989</v>
      </c>
      <c r="AD33" s="382">
        <f t="shared" si="65"/>
        <v>3882.3999299999996</v>
      </c>
      <c r="AE33" s="473">
        <f t="shared" si="48"/>
        <v>10399.586560599999</v>
      </c>
      <c r="AF33" s="473">
        <f t="shared" si="49"/>
        <v>100654.81299999999</v>
      </c>
      <c r="AG33" s="383">
        <f>(AF33-88000)*0.35+(88000-AC33)*0.27</f>
        <v>4894.7849700000006</v>
      </c>
      <c r="AH33" s="473">
        <f t="shared" si="50"/>
        <v>9387.2015205999978</v>
      </c>
      <c r="AI33" s="473">
        <f t="shared" si="51"/>
        <v>115034.07199999999</v>
      </c>
      <c r="AJ33" s="383">
        <f>H33*0.35</f>
        <v>5032.7406499999988</v>
      </c>
      <c r="AK33" s="473">
        <f t="shared" si="52"/>
        <v>9249.2458406000005</v>
      </c>
      <c r="AL33" s="473">
        <f t="shared" si="53"/>
        <v>129413.33099999998</v>
      </c>
      <c r="AM33" s="383">
        <f>H33*0.35</f>
        <v>5032.7406499999988</v>
      </c>
      <c r="AN33" s="473">
        <f t="shared" si="54"/>
        <v>9249.2458406000005</v>
      </c>
      <c r="AO33" s="473">
        <f t="shared" si="55"/>
        <v>143792.58999999997</v>
      </c>
      <c r="AP33" s="383">
        <f>H33*0.35</f>
        <v>5032.7406499999988</v>
      </c>
      <c r="AQ33" s="473">
        <f t="shared" si="56"/>
        <v>12914.145954399999</v>
      </c>
      <c r="AR33" s="473">
        <f t="shared" si="57"/>
        <v>158171.84899999999</v>
      </c>
      <c r="AS33" s="383">
        <f t="shared" si="58"/>
        <v>5032.7406499999988</v>
      </c>
      <c r="AT33" s="473">
        <f t="shared" si="59"/>
        <v>9249.2458406000005</v>
      </c>
      <c r="AU33" s="473">
        <f t="shared" si="60"/>
        <v>172551.10799999998</v>
      </c>
      <c r="AV33" s="383">
        <f t="shared" si="61"/>
        <v>5032.7406499999988</v>
      </c>
      <c r="AW33" s="473">
        <f t="shared" si="62"/>
        <v>9249.2458406000005</v>
      </c>
      <c r="AX33" s="375"/>
    </row>
    <row r="34" spans="1:50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34"/>
        <v>19984.079999999998</v>
      </c>
      <c r="G34" s="233">
        <v>359</v>
      </c>
      <c r="H34" s="353">
        <f t="shared" si="63"/>
        <v>14379.258999999998</v>
      </c>
      <c r="I34" s="363">
        <v>0.65</v>
      </c>
      <c r="J34" s="362">
        <v>8300</v>
      </c>
      <c r="K34" s="361">
        <f t="shared" si="12"/>
        <v>10304.455430083333</v>
      </c>
      <c r="L34" s="390">
        <f t="shared" si="64"/>
        <v>10962.186627748228</v>
      </c>
      <c r="M34" s="372">
        <f t="shared" si="13"/>
        <v>97.27250939999999</v>
      </c>
      <c r="N34" s="373">
        <f t="shared" si="14"/>
        <v>14379.258999999998</v>
      </c>
      <c r="O34" s="374">
        <f t="shared" si="35"/>
        <v>2375.8517999999995</v>
      </c>
      <c r="P34" s="373">
        <f t="shared" si="36"/>
        <v>11906.1346906</v>
      </c>
      <c r="Q34" s="373">
        <f t="shared" si="15"/>
        <v>28758.517999999996</v>
      </c>
      <c r="R34" s="376">
        <f>N34*0.2</f>
        <v>2875.8517999999999</v>
      </c>
      <c r="S34" s="373">
        <f t="shared" si="37"/>
        <v>11406.134690599998</v>
      </c>
      <c r="T34" s="373">
        <f t="shared" si="38"/>
        <v>43137.776999999995</v>
      </c>
      <c r="U34" s="376">
        <f>(T34-25000)*0.27+(25000-Q34)*0.2</f>
        <v>4145.4961899999998</v>
      </c>
      <c r="V34" s="373">
        <f t="shared" si="40"/>
        <v>10136.490300599999</v>
      </c>
      <c r="W34" s="373">
        <f t="shared" si="41"/>
        <v>57517.035999999993</v>
      </c>
      <c r="X34" s="376">
        <f t="shared" si="42"/>
        <v>3882.3999299999996</v>
      </c>
      <c r="Y34" s="373">
        <f t="shared" si="43"/>
        <v>10399.586560599999</v>
      </c>
      <c r="Z34" s="373">
        <f t="shared" si="44"/>
        <v>71896.294999999984</v>
      </c>
      <c r="AA34" s="376">
        <f t="shared" si="45"/>
        <v>3882.3999299999996</v>
      </c>
      <c r="AB34" s="373">
        <f t="shared" si="46"/>
        <v>10399.586560599999</v>
      </c>
      <c r="AC34" s="373">
        <f t="shared" si="47"/>
        <v>86275.553999999989</v>
      </c>
      <c r="AD34" s="376">
        <f t="shared" si="65"/>
        <v>3882.3999299999996</v>
      </c>
      <c r="AE34" s="373">
        <f t="shared" si="48"/>
        <v>10399.586560599999</v>
      </c>
      <c r="AF34" s="373">
        <f t="shared" si="49"/>
        <v>100654.81299999999</v>
      </c>
      <c r="AG34" s="383">
        <f>(AF34-88000)*0.35+(88000-AC34)*0.27</f>
        <v>4894.7849700000006</v>
      </c>
      <c r="AH34" s="373">
        <f t="shared" si="50"/>
        <v>9387.2015205999978</v>
      </c>
      <c r="AI34" s="373">
        <f t="shared" si="51"/>
        <v>115034.07199999999</v>
      </c>
      <c r="AJ34" s="377">
        <f>(AI34-88000)*0.35+(88000-AF34)*0.27</f>
        <v>6045.1256899999953</v>
      </c>
      <c r="AK34" s="373">
        <f t="shared" si="52"/>
        <v>8236.8608006000031</v>
      </c>
      <c r="AL34" s="373">
        <f t="shared" si="53"/>
        <v>129413.33099999998</v>
      </c>
      <c r="AM34" s="377">
        <f>H34*0.35</f>
        <v>5032.7406499999988</v>
      </c>
      <c r="AN34" s="373">
        <f t="shared" si="54"/>
        <v>9249.2458406000005</v>
      </c>
      <c r="AO34" s="373">
        <f t="shared" si="55"/>
        <v>143792.58999999997</v>
      </c>
      <c r="AP34" s="377">
        <f>H34*0.35</f>
        <v>5032.7406499999988</v>
      </c>
      <c r="AQ34" s="373">
        <f t="shared" si="56"/>
        <v>12914.145954399999</v>
      </c>
      <c r="AR34" s="373">
        <f t="shared" si="57"/>
        <v>158171.84899999999</v>
      </c>
      <c r="AS34" s="377">
        <f t="shared" si="58"/>
        <v>5032.7406499999988</v>
      </c>
      <c r="AT34" s="373">
        <f t="shared" si="59"/>
        <v>9249.2458406000005</v>
      </c>
      <c r="AU34" s="373">
        <f t="shared" si="60"/>
        <v>172551.10799999998</v>
      </c>
      <c r="AV34" s="377">
        <f t="shared" si="61"/>
        <v>5032.7406499999988</v>
      </c>
      <c r="AW34" s="373">
        <f t="shared" si="62"/>
        <v>9249.2458406000005</v>
      </c>
      <c r="AX34" s="292"/>
    </row>
    <row r="35" spans="1:50" ht="28.5" x14ac:dyDescent="0.45">
      <c r="A35" s="716"/>
      <c r="B35" s="458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34"/>
        <v>14988.059999999998</v>
      </c>
      <c r="G35" s="233">
        <v>359</v>
      </c>
      <c r="H35" s="353">
        <f t="shared" si="63"/>
        <v>11131.846</v>
      </c>
      <c r="I35" s="363">
        <v>0.65</v>
      </c>
      <c r="J35" s="362">
        <v>7300</v>
      </c>
      <c r="K35" s="361">
        <f t="shared" si="12"/>
        <v>8204.719113383333</v>
      </c>
      <c r="L35" s="390">
        <f t="shared" si="64"/>
        <v>8728.4245887056732</v>
      </c>
      <c r="M35" s="372">
        <f t="shared" si="13"/>
        <v>75.839583599999997</v>
      </c>
      <c r="N35" s="373">
        <f t="shared" si="14"/>
        <v>11131.846</v>
      </c>
      <c r="O35" s="378">
        <f t="shared" ref="O35:O38" si="68">N35*0.15</f>
        <v>1669.7768999999998</v>
      </c>
      <c r="P35" s="373">
        <f t="shared" si="36"/>
        <v>9386.2295163999988</v>
      </c>
      <c r="Q35" s="373">
        <f t="shared" si="15"/>
        <v>22263.691999999999</v>
      </c>
      <c r="R35" s="374">
        <f t="shared" ref="R35:R38" si="69">(Q35-10000)*0.2+(10000-N35)*0.15</f>
        <v>2282.9614999999999</v>
      </c>
      <c r="S35" s="373">
        <f t="shared" si="37"/>
        <v>8773.0449164000001</v>
      </c>
      <c r="T35" s="373">
        <f t="shared" si="38"/>
        <v>33395.538</v>
      </c>
      <c r="U35" s="376">
        <f>(T35-25000)*0.27+(25000-Q35)*0.2</f>
        <v>2814.0568600000006</v>
      </c>
      <c r="V35" s="373">
        <f t="shared" si="40"/>
        <v>8241.949556399999</v>
      </c>
      <c r="W35" s="373">
        <f t="shared" si="41"/>
        <v>44527.383999999998</v>
      </c>
      <c r="X35" s="376">
        <f t="shared" si="42"/>
        <v>3005.5984200000003</v>
      </c>
      <c r="Y35" s="373">
        <f t="shared" si="43"/>
        <v>8050.4079963999993</v>
      </c>
      <c r="Z35" s="373">
        <f t="shared" si="44"/>
        <v>55659.229999999996</v>
      </c>
      <c r="AA35" s="376">
        <f t="shared" si="45"/>
        <v>3005.5984200000003</v>
      </c>
      <c r="AB35" s="373">
        <f t="shared" si="46"/>
        <v>8050.4079963999993</v>
      </c>
      <c r="AC35" s="373">
        <f t="shared" si="47"/>
        <v>66791.076000000001</v>
      </c>
      <c r="AD35" s="376">
        <f t="shared" si="65"/>
        <v>3005.5984200000003</v>
      </c>
      <c r="AE35" s="373">
        <f t="shared" si="48"/>
        <v>8050.4079963999993</v>
      </c>
      <c r="AF35" s="373">
        <f t="shared" si="49"/>
        <v>77922.921999999991</v>
      </c>
      <c r="AG35" s="376">
        <f>H35*0.27</f>
        <v>3005.5984200000003</v>
      </c>
      <c r="AH35" s="373">
        <f t="shared" si="50"/>
        <v>8050.4079963999993</v>
      </c>
      <c r="AI35" s="373">
        <f t="shared" si="51"/>
        <v>89054.767999999996</v>
      </c>
      <c r="AJ35" s="376">
        <f>H35*0.27</f>
        <v>3005.5984200000003</v>
      </c>
      <c r="AK35" s="373">
        <f t="shared" si="52"/>
        <v>8050.4079963999993</v>
      </c>
      <c r="AL35" s="373">
        <f t="shared" si="53"/>
        <v>100186.614</v>
      </c>
      <c r="AM35" s="377">
        <f>(AL35-88000)*0.35+(88000-AI35)*0.27</f>
        <v>3980.5275400000014</v>
      </c>
      <c r="AN35" s="373">
        <f t="shared" si="54"/>
        <v>7075.4788763999986</v>
      </c>
      <c r="AO35" s="373">
        <f t="shared" si="55"/>
        <v>111318.45999999999</v>
      </c>
      <c r="AP35" s="377">
        <f>H35*0.35</f>
        <v>3896.1460999999995</v>
      </c>
      <c r="AQ35" s="373">
        <f t="shared" si="56"/>
        <v>9688.1658802000002</v>
      </c>
      <c r="AR35" s="373">
        <f t="shared" si="57"/>
        <v>122450.306</v>
      </c>
      <c r="AS35" s="377">
        <f t="shared" si="58"/>
        <v>3896.1460999999995</v>
      </c>
      <c r="AT35" s="373">
        <f t="shared" si="59"/>
        <v>7159.8603163999996</v>
      </c>
      <c r="AU35" s="373">
        <f t="shared" si="60"/>
        <v>133582.152</v>
      </c>
      <c r="AV35" s="377">
        <f t="shared" si="61"/>
        <v>3896.1460999999995</v>
      </c>
      <c r="AW35" s="373">
        <f t="shared" si="62"/>
        <v>7159.8603163999996</v>
      </c>
      <c r="AX35" s="292"/>
    </row>
    <row r="36" spans="1:50" ht="28.5" x14ac:dyDescent="0.45">
      <c r="A36" s="716"/>
      <c r="B36" s="458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34"/>
        <v>14988.059999999998</v>
      </c>
      <c r="G36" s="233">
        <v>359</v>
      </c>
      <c r="H36" s="353">
        <f t="shared" si="63"/>
        <v>11131.846</v>
      </c>
      <c r="I36" s="363">
        <v>0.65</v>
      </c>
      <c r="J36" s="362">
        <v>7100</v>
      </c>
      <c r="K36" s="361">
        <f t="shared" si="12"/>
        <v>7994.0269830666648</v>
      </c>
      <c r="L36" s="390">
        <f t="shared" si="64"/>
        <v>8504.2840245390053</v>
      </c>
      <c r="M36" s="372">
        <f t="shared" si="13"/>
        <v>75.839583599999997</v>
      </c>
      <c r="N36" s="373">
        <f t="shared" si="14"/>
        <v>11131.846</v>
      </c>
      <c r="O36" s="378">
        <f t="shared" si="68"/>
        <v>1669.7768999999998</v>
      </c>
      <c r="P36" s="373">
        <f t="shared" si="36"/>
        <v>9386.2295163999988</v>
      </c>
      <c r="Q36" s="373">
        <f t="shared" si="15"/>
        <v>22263.691999999999</v>
      </c>
      <c r="R36" s="374">
        <f t="shared" si="69"/>
        <v>2282.9614999999999</v>
      </c>
      <c r="S36" s="373">
        <f t="shared" si="37"/>
        <v>8773.0449164000001</v>
      </c>
      <c r="T36" s="373">
        <f t="shared" si="38"/>
        <v>33395.538</v>
      </c>
      <c r="U36" s="376">
        <f>(T36-25000)*0.27+(25000-Q36)*0.2</f>
        <v>2814.0568600000006</v>
      </c>
      <c r="V36" s="373">
        <f t="shared" si="40"/>
        <v>8241.949556399999</v>
      </c>
      <c r="W36" s="373">
        <f t="shared" si="41"/>
        <v>44527.383999999998</v>
      </c>
      <c r="X36" s="376">
        <f t="shared" si="42"/>
        <v>3005.5984200000003</v>
      </c>
      <c r="Y36" s="373">
        <f t="shared" si="43"/>
        <v>8050.4079963999993</v>
      </c>
      <c r="Z36" s="373">
        <f t="shared" si="44"/>
        <v>55659.229999999996</v>
      </c>
      <c r="AA36" s="376">
        <f t="shared" si="45"/>
        <v>3005.5984200000003</v>
      </c>
      <c r="AB36" s="373">
        <f t="shared" si="46"/>
        <v>8050.4079963999993</v>
      </c>
      <c r="AC36" s="373">
        <f t="shared" si="47"/>
        <v>66791.076000000001</v>
      </c>
      <c r="AD36" s="376">
        <f t="shared" si="65"/>
        <v>3005.5984200000003</v>
      </c>
      <c r="AE36" s="373">
        <f t="shared" si="48"/>
        <v>8050.4079963999993</v>
      </c>
      <c r="AF36" s="373">
        <f t="shared" si="49"/>
        <v>77922.921999999991</v>
      </c>
      <c r="AG36" s="376">
        <f>H36*0.27</f>
        <v>3005.5984200000003</v>
      </c>
      <c r="AH36" s="373">
        <f t="shared" si="50"/>
        <v>8050.4079963999993</v>
      </c>
      <c r="AI36" s="373">
        <f t="shared" si="51"/>
        <v>89054.767999999996</v>
      </c>
      <c r="AJ36" s="376">
        <f>H36*0.27</f>
        <v>3005.5984200000003</v>
      </c>
      <c r="AK36" s="373">
        <f t="shared" si="52"/>
        <v>8050.4079963999993</v>
      </c>
      <c r="AL36" s="373">
        <f t="shared" si="53"/>
        <v>100186.614</v>
      </c>
      <c r="AM36" s="377">
        <f>(AL36-88000)*0.35+(88000-AI36)*0.27</f>
        <v>3980.5275400000014</v>
      </c>
      <c r="AN36" s="373">
        <f t="shared" si="54"/>
        <v>7075.4788763999986</v>
      </c>
      <c r="AO36" s="373">
        <f t="shared" si="55"/>
        <v>111318.45999999999</v>
      </c>
      <c r="AP36" s="377">
        <f>H36*0.35</f>
        <v>3896.1460999999995</v>
      </c>
      <c r="AQ36" s="373">
        <f>H36-M36-AP36</f>
        <v>7159.8603163999996</v>
      </c>
      <c r="AR36" s="373">
        <f t="shared" si="57"/>
        <v>122450.306</v>
      </c>
      <c r="AS36" s="377">
        <f t="shared" si="58"/>
        <v>3896.1460999999995</v>
      </c>
      <c r="AT36" s="373">
        <f t="shared" si="59"/>
        <v>7159.8603163999996</v>
      </c>
      <c r="AU36" s="373">
        <f t="shared" si="60"/>
        <v>133582.152</v>
      </c>
      <c r="AV36" s="377">
        <f t="shared" si="61"/>
        <v>3896.1460999999995</v>
      </c>
      <c r="AW36" s="373">
        <f t="shared" si="62"/>
        <v>7159.8603163999996</v>
      </c>
      <c r="AX36" s="292"/>
    </row>
    <row r="37" spans="1:50" ht="28.5" x14ac:dyDescent="0.45">
      <c r="A37" s="716"/>
      <c r="B37" s="458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34"/>
        <v>14988.059999999998</v>
      </c>
      <c r="G37" s="233">
        <v>359</v>
      </c>
      <c r="H37" s="353">
        <f t="shared" si="63"/>
        <v>11131.846</v>
      </c>
      <c r="I37" s="363">
        <v>0.65</v>
      </c>
      <c r="J37" s="362">
        <v>6900</v>
      </c>
      <c r="K37" s="361">
        <f t="shared" si="12"/>
        <v>8285.9632067166658</v>
      </c>
      <c r="L37" s="390">
        <f t="shared" si="64"/>
        <v>8814.8544752304952</v>
      </c>
      <c r="M37" s="372">
        <f t="shared" si="13"/>
        <v>75.839583599999997</v>
      </c>
      <c r="N37" s="373">
        <f t="shared" si="14"/>
        <v>11131.846</v>
      </c>
      <c r="O37" s="378">
        <f t="shared" si="68"/>
        <v>1669.7768999999998</v>
      </c>
      <c r="P37" s="373">
        <f t="shared" si="36"/>
        <v>9386.2295163999988</v>
      </c>
      <c r="Q37" s="373">
        <f t="shared" si="15"/>
        <v>22263.691999999999</v>
      </c>
      <c r="R37" s="374">
        <f t="shared" si="69"/>
        <v>2282.9614999999999</v>
      </c>
      <c r="S37" s="373">
        <f t="shared" si="37"/>
        <v>8773.0449164000001</v>
      </c>
      <c r="T37" s="373">
        <f t="shared" si="38"/>
        <v>33395.538</v>
      </c>
      <c r="U37" s="376">
        <f>(T37-25000)*0.27+(25000-Q37)*0.2</f>
        <v>2814.0568600000006</v>
      </c>
      <c r="V37" s="373">
        <f t="shared" si="40"/>
        <v>8241.949556399999</v>
      </c>
      <c r="W37" s="373">
        <f t="shared" si="41"/>
        <v>44527.383999999998</v>
      </c>
      <c r="X37" s="376">
        <f t="shared" si="42"/>
        <v>3005.5984200000003</v>
      </c>
      <c r="Y37" s="373">
        <f t="shared" si="43"/>
        <v>8050.4079963999993</v>
      </c>
      <c r="Z37" s="373">
        <f t="shared" si="44"/>
        <v>55659.229999999996</v>
      </c>
      <c r="AA37" s="376">
        <f t="shared" si="45"/>
        <v>3005.5984200000003</v>
      </c>
      <c r="AB37" s="373">
        <f t="shared" si="46"/>
        <v>8050.4079963999993</v>
      </c>
      <c r="AC37" s="373">
        <f t="shared" si="47"/>
        <v>66791.076000000001</v>
      </c>
      <c r="AD37" s="376">
        <f t="shared" si="65"/>
        <v>3005.5984200000003</v>
      </c>
      <c r="AE37" s="373">
        <f t="shared" si="48"/>
        <v>8050.4079963999993</v>
      </c>
      <c r="AF37" s="373">
        <f t="shared" si="49"/>
        <v>77922.921999999991</v>
      </c>
      <c r="AG37" s="376">
        <f>H37*0.27</f>
        <v>3005.5984200000003</v>
      </c>
      <c r="AH37" s="373">
        <f t="shared" si="50"/>
        <v>8050.4079963999993</v>
      </c>
      <c r="AI37" s="373">
        <f t="shared" si="51"/>
        <v>89054.767999999996</v>
      </c>
      <c r="AJ37" s="376">
        <f>H37*0.27</f>
        <v>3005.5984200000003</v>
      </c>
      <c r="AK37" s="373">
        <f t="shared" si="52"/>
        <v>8050.4079963999993</v>
      </c>
      <c r="AL37" s="373">
        <f t="shared" si="53"/>
        <v>100186.614</v>
      </c>
      <c r="AM37" s="376">
        <f>H37*0.27</f>
        <v>3005.5984200000003</v>
      </c>
      <c r="AN37" s="373">
        <f t="shared" si="54"/>
        <v>8050.4079963999993</v>
      </c>
      <c r="AO37" s="373">
        <f t="shared" si="55"/>
        <v>111318.45999999999</v>
      </c>
      <c r="AP37" s="377">
        <f>(AO37-88000)*0.35+(88000-AL37)*0.27</f>
        <v>4871.0752199999961</v>
      </c>
      <c r="AQ37" s="373">
        <f t="shared" ref="AQ37:AQ54" si="70">H37-M37-$AP$26</f>
        <v>9688.1658802000002</v>
      </c>
      <c r="AR37" s="373">
        <f t="shared" si="57"/>
        <v>122450.306</v>
      </c>
      <c r="AS37" s="377">
        <f t="shared" si="58"/>
        <v>3896.1460999999995</v>
      </c>
      <c r="AT37" s="373">
        <f t="shared" si="59"/>
        <v>7159.8603163999996</v>
      </c>
      <c r="AU37" s="373">
        <f t="shared" si="60"/>
        <v>133582.152</v>
      </c>
      <c r="AV37" s="377">
        <f t="shared" si="61"/>
        <v>3896.1460999999995</v>
      </c>
      <c r="AW37" s="373">
        <f t="shared" si="62"/>
        <v>7159.8603163999996</v>
      </c>
      <c r="AX37" s="292"/>
    </row>
    <row r="38" spans="1:50" ht="28.5" x14ac:dyDescent="0.45">
      <c r="A38" s="716"/>
      <c r="B38" s="392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34"/>
        <v>14988.059999999998</v>
      </c>
      <c r="G38" s="233">
        <v>359</v>
      </c>
      <c r="H38" s="353">
        <f t="shared" si="63"/>
        <v>11131.846</v>
      </c>
      <c r="I38" s="363">
        <v>0.65</v>
      </c>
      <c r="J38" s="362">
        <v>4900</v>
      </c>
      <c r="K38" s="361">
        <f t="shared" si="12"/>
        <v>8434.3878200499985</v>
      </c>
      <c r="L38" s="390">
        <f t="shared" si="64"/>
        <v>8972.7530000531897</v>
      </c>
      <c r="M38" s="372">
        <f t="shared" si="13"/>
        <v>75.839583599999997</v>
      </c>
      <c r="N38" s="373">
        <f t="shared" si="14"/>
        <v>11131.846</v>
      </c>
      <c r="O38" s="378">
        <f t="shared" si="68"/>
        <v>1669.7768999999998</v>
      </c>
      <c r="P38" s="373">
        <f t="shared" si="36"/>
        <v>9386.2295163999988</v>
      </c>
      <c r="Q38" s="373">
        <f t="shared" si="15"/>
        <v>22263.691999999999</v>
      </c>
      <c r="R38" s="374">
        <f t="shared" si="69"/>
        <v>2282.9614999999999</v>
      </c>
      <c r="S38" s="373">
        <f t="shared" si="37"/>
        <v>8773.0449164000001</v>
      </c>
      <c r="T38" s="373">
        <f t="shared" si="38"/>
        <v>33395.538</v>
      </c>
      <c r="U38" s="374">
        <f>N38*0.2</f>
        <v>2226.3692000000001</v>
      </c>
      <c r="V38" s="373">
        <f t="shared" si="40"/>
        <v>8829.6372163999986</v>
      </c>
      <c r="W38" s="373">
        <f t="shared" si="41"/>
        <v>44527.383999999998</v>
      </c>
      <c r="X38" s="376">
        <f>(W38-25000)*0.27+(25000-T38)*0.2</f>
        <v>3593.2860799999999</v>
      </c>
      <c r="Y38" s="373">
        <f t="shared" si="43"/>
        <v>7462.7203363999997</v>
      </c>
      <c r="Z38" s="373">
        <f t="shared" si="44"/>
        <v>55659.229999999996</v>
      </c>
      <c r="AA38" s="376">
        <f t="shared" si="45"/>
        <v>3005.5984200000003</v>
      </c>
      <c r="AB38" s="373">
        <f t="shared" si="46"/>
        <v>8050.4079963999993</v>
      </c>
      <c r="AC38" s="373">
        <f t="shared" si="47"/>
        <v>66791.076000000001</v>
      </c>
      <c r="AD38" s="376">
        <f t="shared" si="65"/>
        <v>3005.5984200000003</v>
      </c>
      <c r="AE38" s="373">
        <f t="shared" si="48"/>
        <v>8050.4079963999993</v>
      </c>
      <c r="AF38" s="373">
        <f t="shared" si="49"/>
        <v>77922.921999999991</v>
      </c>
      <c r="AG38" s="376">
        <f>H38*0.27</f>
        <v>3005.5984200000003</v>
      </c>
      <c r="AH38" s="373">
        <f t="shared" si="50"/>
        <v>8050.4079963999993</v>
      </c>
      <c r="AI38" s="373">
        <f t="shared" si="51"/>
        <v>89054.767999999996</v>
      </c>
      <c r="AJ38" s="376">
        <f>H38*0.27</f>
        <v>3005.5984200000003</v>
      </c>
      <c r="AK38" s="373">
        <f t="shared" si="52"/>
        <v>8050.4079963999993</v>
      </c>
      <c r="AL38" s="373">
        <f t="shared" si="53"/>
        <v>100186.614</v>
      </c>
      <c r="AM38" s="376">
        <f>H38*0.27</f>
        <v>3005.5984200000003</v>
      </c>
      <c r="AN38" s="373">
        <f t="shared" si="54"/>
        <v>8050.4079963999993</v>
      </c>
      <c r="AO38" s="373">
        <f t="shared" si="55"/>
        <v>111318.45999999999</v>
      </c>
      <c r="AP38" s="376">
        <f>H38*0.27</f>
        <v>3005.5984200000003</v>
      </c>
      <c r="AQ38" s="373">
        <f t="shared" si="70"/>
        <v>9688.1658802000002</v>
      </c>
      <c r="AR38" s="373">
        <f t="shared" si="57"/>
        <v>122450.306</v>
      </c>
      <c r="AS38" s="376">
        <f>H38*0.27</f>
        <v>3005.5984200000003</v>
      </c>
      <c r="AT38" s="373">
        <f t="shared" si="59"/>
        <v>8050.4079963999993</v>
      </c>
      <c r="AU38" s="373">
        <f t="shared" si="60"/>
        <v>133582.152</v>
      </c>
      <c r="AV38" s="376">
        <f>H38*0.27</f>
        <v>3005.5984200000003</v>
      </c>
      <c r="AW38" s="373">
        <f t="shared" si="62"/>
        <v>8050.4079963999993</v>
      </c>
      <c r="AX38" s="292"/>
    </row>
    <row r="39" spans="1:50" ht="28.5" x14ac:dyDescent="0.45">
      <c r="A39" s="716" t="s">
        <v>29</v>
      </c>
      <c r="B39" s="458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34"/>
        <v>24980.1</v>
      </c>
      <c r="G39" s="233">
        <v>359</v>
      </c>
      <c r="H39" s="353">
        <f t="shared" si="63"/>
        <v>17626.671999999999</v>
      </c>
      <c r="I39" s="363">
        <v>0.65</v>
      </c>
      <c r="J39" s="362">
        <v>11600</v>
      </c>
      <c r="K39" s="361">
        <f t="shared" si="12"/>
        <v>12572.92258678333</v>
      </c>
      <c r="L39" s="390">
        <f t="shared" si="64"/>
        <v>13375.449560407798</v>
      </c>
      <c r="M39" s="372">
        <f t="shared" si="13"/>
        <v>118.7054352</v>
      </c>
      <c r="N39" s="373">
        <f t="shared" si="14"/>
        <v>17626.671999999999</v>
      </c>
      <c r="O39" s="374">
        <f t="shared" si="35"/>
        <v>3025.3343999999997</v>
      </c>
      <c r="P39" s="373">
        <f t="shared" si="36"/>
        <v>14482.632164799998</v>
      </c>
      <c r="Q39" s="373">
        <f t="shared" si="15"/>
        <v>35253.343999999997</v>
      </c>
      <c r="R39" s="376">
        <f>(Q39-25000)*0.27+(25000-N39)*0.2</f>
        <v>4243.0684799999999</v>
      </c>
      <c r="S39" s="373">
        <f t="shared" si="37"/>
        <v>13264.898084799997</v>
      </c>
      <c r="T39" s="373">
        <f t="shared" si="38"/>
        <v>52880.015999999996</v>
      </c>
      <c r="U39" s="376">
        <f t="shared" ref="U39" si="71">N39*0.27</f>
        <v>4759.2014399999998</v>
      </c>
      <c r="V39" s="373">
        <f t="shared" si="40"/>
        <v>12748.765124799997</v>
      </c>
      <c r="W39" s="373">
        <f t="shared" si="41"/>
        <v>70506.687999999995</v>
      </c>
      <c r="X39" s="376">
        <f t="shared" ref="X39:X45" si="72">H39*0.27</f>
        <v>4759.2014399999998</v>
      </c>
      <c r="Y39" s="373">
        <f t="shared" si="43"/>
        <v>12748.765124799997</v>
      </c>
      <c r="Z39" s="373">
        <f t="shared" si="44"/>
        <v>88133.359999999986</v>
      </c>
      <c r="AA39" s="376">
        <f t="shared" si="45"/>
        <v>4759.2014399999998</v>
      </c>
      <c r="AB39" s="373">
        <f t="shared" si="46"/>
        <v>12748.765124799997</v>
      </c>
      <c r="AC39" s="373">
        <f t="shared" si="47"/>
        <v>105760.03199999999</v>
      </c>
      <c r="AD39" s="377">
        <f>(AC39-88000)*0.35+(88000-Z39)*0.27</f>
        <v>6180.0040000000008</v>
      </c>
      <c r="AE39" s="373">
        <f t="shared" si="48"/>
        <v>11327.962564799996</v>
      </c>
      <c r="AF39" s="373">
        <f t="shared" si="49"/>
        <v>123386.704</v>
      </c>
      <c r="AG39" s="377">
        <f>H39*0.35</f>
        <v>6169.3351999999995</v>
      </c>
      <c r="AH39" s="373">
        <f t="shared" si="50"/>
        <v>11338.631364799998</v>
      </c>
      <c r="AI39" s="373">
        <f t="shared" si="51"/>
        <v>141013.37599999999</v>
      </c>
      <c r="AJ39" s="377">
        <f>H39*0.35</f>
        <v>6169.3351999999995</v>
      </c>
      <c r="AK39" s="373">
        <f t="shared" si="52"/>
        <v>11338.631364799998</v>
      </c>
      <c r="AL39" s="373">
        <f t="shared" si="53"/>
        <v>158640.04799999998</v>
      </c>
      <c r="AM39" s="377">
        <f>H39*0.35</f>
        <v>6169.3351999999995</v>
      </c>
      <c r="AN39" s="373">
        <f t="shared" si="54"/>
        <v>11338.631364799998</v>
      </c>
      <c r="AO39" s="373">
        <f t="shared" si="55"/>
        <v>176266.71999999997</v>
      </c>
      <c r="AP39" s="377">
        <f>H39*0.35</f>
        <v>6169.3351999999995</v>
      </c>
      <c r="AQ39" s="373">
        <f t="shared" si="70"/>
        <v>16140.126028599998</v>
      </c>
      <c r="AR39" s="373">
        <f t="shared" si="57"/>
        <v>193893.39199999999</v>
      </c>
      <c r="AS39" s="377">
        <f t="shared" ref="AS39:AS45" si="73">H39*0.35</f>
        <v>6169.3351999999995</v>
      </c>
      <c r="AT39" s="373">
        <f t="shared" si="59"/>
        <v>11338.631364799998</v>
      </c>
      <c r="AU39" s="373">
        <f t="shared" si="60"/>
        <v>211520.06399999998</v>
      </c>
      <c r="AV39" s="377">
        <f t="shared" ref="AV39:AV45" si="74">H39*0.35</f>
        <v>6169.3351999999995</v>
      </c>
      <c r="AW39" s="373">
        <f t="shared" si="62"/>
        <v>11338.631364799998</v>
      </c>
      <c r="AX39" s="292"/>
    </row>
    <row r="40" spans="1:50" ht="28.5" x14ac:dyDescent="0.45">
      <c r="A40" s="716"/>
      <c r="B40" s="458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34"/>
        <v>24980.1</v>
      </c>
      <c r="G40" s="233">
        <v>359</v>
      </c>
      <c r="H40" s="353">
        <f t="shared" si="63"/>
        <v>17626.671999999999</v>
      </c>
      <c r="I40" s="363">
        <v>0.65</v>
      </c>
      <c r="J40" s="362">
        <v>7900</v>
      </c>
      <c r="K40" s="361">
        <f t="shared" si="12"/>
        <v>12572.922586783336</v>
      </c>
      <c r="L40" s="390">
        <f t="shared" si="64"/>
        <v>13375.449560407804</v>
      </c>
      <c r="M40" s="372">
        <f t="shared" si="13"/>
        <v>118.7054352</v>
      </c>
      <c r="N40" s="373">
        <f t="shared" si="14"/>
        <v>17626.671999999999</v>
      </c>
      <c r="O40" s="374">
        <f t="shared" si="35"/>
        <v>3025.3343999999997</v>
      </c>
      <c r="P40" s="373">
        <f t="shared" si="36"/>
        <v>14482.632164799998</v>
      </c>
      <c r="Q40" s="373">
        <f t="shared" si="15"/>
        <v>35253.343999999997</v>
      </c>
      <c r="R40" s="374">
        <f>H40*0.2</f>
        <v>3525.3343999999997</v>
      </c>
      <c r="S40" s="373">
        <f t="shared" si="37"/>
        <v>13982.632164799998</v>
      </c>
      <c r="T40" s="373">
        <f t="shared" si="38"/>
        <v>52880.015999999996</v>
      </c>
      <c r="U40" s="376">
        <f t="shared" ref="U40:U45" si="75">(T40-25000)*0.27+(25000-Q40)*0.2</f>
        <v>5476.93552</v>
      </c>
      <c r="V40" s="373">
        <f t="shared" si="40"/>
        <v>12031.031044799998</v>
      </c>
      <c r="W40" s="373">
        <f t="shared" si="41"/>
        <v>70506.687999999995</v>
      </c>
      <c r="X40" s="376">
        <f t="shared" si="72"/>
        <v>4759.2014399999998</v>
      </c>
      <c r="Y40" s="373">
        <f t="shared" si="43"/>
        <v>12748.765124799997</v>
      </c>
      <c r="Z40" s="373">
        <f t="shared" si="44"/>
        <v>88133.359999999986</v>
      </c>
      <c r="AA40" s="376">
        <f t="shared" si="45"/>
        <v>4759.2014399999998</v>
      </c>
      <c r="AB40" s="373">
        <f t="shared" si="46"/>
        <v>12748.765124799997</v>
      </c>
      <c r="AC40" s="373">
        <f t="shared" si="47"/>
        <v>105760.03199999999</v>
      </c>
      <c r="AD40" s="376">
        <f t="shared" ref="AD40:AD51" si="76">H40*0.27</f>
        <v>4759.2014399999998</v>
      </c>
      <c r="AE40" s="373">
        <f t="shared" si="48"/>
        <v>12748.765124799997</v>
      </c>
      <c r="AF40" s="373">
        <f t="shared" si="49"/>
        <v>123386.704</v>
      </c>
      <c r="AG40" s="376">
        <f>H40*0.27</f>
        <v>4759.2014399999998</v>
      </c>
      <c r="AH40" s="373">
        <f t="shared" si="50"/>
        <v>12748.765124799997</v>
      </c>
      <c r="AI40" s="373">
        <f t="shared" si="51"/>
        <v>141013.37599999999</v>
      </c>
      <c r="AJ40" s="376">
        <f>H40*0.27</f>
        <v>4759.2014399999998</v>
      </c>
      <c r="AK40" s="373">
        <f t="shared" si="52"/>
        <v>12748.765124799997</v>
      </c>
      <c r="AL40" s="373">
        <f t="shared" si="53"/>
        <v>158640.04799999998</v>
      </c>
      <c r="AM40" s="377">
        <f>(AL40-88000)*0.35+(88000-AI40)*0.27</f>
        <v>10410.405279999992</v>
      </c>
      <c r="AN40" s="373">
        <f t="shared" si="54"/>
        <v>7097.5612848000055</v>
      </c>
      <c r="AO40" s="373">
        <f t="shared" si="55"/>
        <v>176266.71999999997</v>
      </c>
      <c r="AP40" s="377">
        <f>H40*0.35</f>
        <v>6169.3351999999995</v>
      </c>
      <c r="AQ40" s="373">
        <f t="shared" si="70"/>
        <v>16140.126028599998</v>
      </c>
      <c r="AR40" s="373">
        <f t="shared" si="57"/>
        <v>193893.39199999999</v>
      </c>
      <c r="AS40" s="377">
        <f t="shared" si="73"/>
        <v>6169.3351999999995</v>
      </c>
      <c r="AT40" s="373">
        <f t="shared" si="59"/>
        <v>11338.631364799998</v>
      </c>
      <c r="AU40" s="373">
        <f t="shared" si="60"/>
        <v>211520.06399999998</v>
      </c>
      <c r="AV40" s="377">
        <f t="shared" si="74"/>
        <v>6169.3351999999995</v>
      </c>
      <c r="AW40" s="373">
        <f t="shared" si="62"/>
        <v>11338.631364799998</v>
      </c>
      <c r="AX40" s="292"/>
    </row>
    <row r="41" spans="1:50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34"/>
        <v>19984.079999999998</v>
      </c>
      <c r="G41" s="233">
        <v>359</v>
      </c>
      <c r="H41" s="353">
        <f t="shared" si="63"/>
        <v>14379.258999999998</v>
      </c>
      <c r="I41" s="363">
        <v>0.65</v>
      </c>
      <c r="J41" s="362">
        <v>9000</v>
      </c>
      <c r="K41" s="361">
        <f t="shared" si="12"/>
        <v>10388.820850083333</v>
      </c>
      <c r="L41" s="390">
        <f t="shared" si="64"/>
        <v>11051.937074556738</v>
      </c>
      <c r="M41" s="372">
        <f t="shared" si="13"/>
        <v>97.27250939999999</v>
      </c>
      <c r="N41" s="373">
        <f t="shared" si="14"/>
        <v>14379.258999999998</v>
      </c>
      <c r="O41" s="374">
        <f t="shared" si="35"/>
        <v>2375.8517999999995</v>
      </c>
      <c r="P41" s="373">
        <f t="shared" si="36"/>
        <v>11906.1346906</v>
      </c>
      <c r="Q41" s="373">
        <f t="shared" si="15"/>
        <v>28758.517999999996</v>
      </c>
      <c r="R41" s="374">
        <f>H41*0.2</f>
        <v>2875.8517999999999</v>
      </c>
      <c r="S41" s="373">
        <f t="shared" si="37"/>
        <v>11406.134690599998</v>
      </c>
      <c r="T41" s="373">
        <f t="shared" si="38"/>
        <v>43137.776999999995</v>
      </c>
      <c r="U41" s="376">
        <f t="shared" si="75"/>
        <v>4145.4961899999998</v>
      </c>
      <c r="V41" s="373">
        <f t="shared" si="40"/>
        <v>10136.490300599999</v>
      </c>
      <c r="W41" s="373">
        <f t="shared" si="41"/>
        <v>57517.035999999993</v>
      </c>
      <c r="X41" s="376">
        <f t="shared" si="72"/>
        <v>3882.3999299999996</v>
      </c>
      <c r="Y41" s="373">
        <f t="shared" si="43"/>
        <v>10399.586560599999</v>
      </c>
      <c r="Z41" s="373">
        <f t="shared" si="44"/>
        <v>71896.294999999984</v>
      </c>
      <c r="AA41" s="376">
        <f t="shared" si="45"/>
        <v>3882.3999299999996</v>
      </c>
      <c r="AB41" s="373">
        <f t="shared" si="46"/>
        <v>10399.586560599999</v>
      </c>
      <c r="AC41" s="373">
        <f t="shared" si="47"/>
        <v>86275.553999999989</v>
      </c>
      <c r="AD41" s="376">
        <f t="shared" si="76"/>
        <v>3882.3999299999996</v>
      </c>
      <c r="AE41" s="373">
        <f t="shared" si="48"/>
        <v>10399.586560599999</v>
      </c>
      <c r="AF41" s="373">
        <f t="shared" si="49"/>
        <v>100654.81299999999</v>
      </c>
      <c r="AG41" s="376">
        <f>H41*0.27</f>
        <v>3882.3999299999996</v>
      </c>
      <c r="AH41" s="373">
        <f t="shared" si="50"/>
        <v>10399.586560599999</v>
      </c>
      <c r="AI41" s="373">
        <f t="shared" si="51"/>
        <v>115034.07199999999</v>
      </c>
      <c r="AJ41" s="377">
        <f>(AI41-88000)*0.35+(88000-AF41)*0.27</f>
        <v>6045.1256899999953</v>
      </c>
      <c r="AK41" s="373">
        <f t="shared" si="52"/>
        <v>8236.8608006000031</v>
      </c>
      <c r="AL41" s="373">
        <f t="shared" si="53"/>
        <v>129413.33099999998</v>
      </c>
      <c r="AM41" s="377">
        <f>H41*0.35</f>
        <v>5032.7406499999988</v>
      </c>
      <c r="AN41" s="373">
        <f t="shared" si="54"/>
        <v>9249.2458406000005</v>
      </c>
      <c r="AO41" s="373">
        <f t="shared" si="55"/>
        <v>143792.58999999997</v>
      </c>
      <c r="AP41" s="377">
        <f>H41*0.35</f>
        <v>5032.7406499999988</v>
      </c>
      <c r="AQ41" s="373">
        <f t="shared" si="70"/>
        <v>12914.145954399999</v>
      </c>
      <c r="AR41" s="373">
        <f t="shared" si="57"/>
        <v>158171.84899999999</v>
      </c>
      <c r="AS41" s="377">
        <f t="shared" si="73"/>
        <v>5032.7406499999988</v>
      </c>
      <c r="AT41" s="373">
        <f t="shared" si="59"/>
        <v>9249.2458406000005</v>
      </c>
      <c r="AU41" s="373">
        <f t="shared" si="60"/>
        <v>172551.10799999998</v>
      </c>
      <c r="AV41" s="377">
        <f t="shared" si="74"/>
        <v>5032.7406499999988</v>
      </c>
      <c r="AW41" s="373">
        <f t="shared" si="62"/>
        <v>9249.2458406000005</v>
      </c>
      <c r="AX41" s="292"/>
    </row>
    <row r="42" spans="1:50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34"/>
        <v>19984.079999999998</v>
      </c>
      <c r="G42" s="233">
        <v>359</v>
      </c>
      <c r="H42" s="353">
        <f t="shared" si="63"/>
        <v>14379.258999999998</v>
      </c>
      <c r="I42" s="363">
        <v>0.65</v>
      </c>
      <c r="J42" s="362">
        <v>8000</v>
      </c>
      <c r="K42" s="361">
        <f t="shared" si="12"/>
        <v>10388.820850083333</v>
      </c>
      <c r="L42" s="390">
        <f t="shared" si="64"/>
        <v>11051.937074556738</v>
      </c>
      <c r="M42" s="372">
        <f t="shared" si="13"/>
        <v>97.27250939999999</v>
      </c>
      <c r="N42" s="373">
        <f t="shared" si="14"/>
        <v>14379.258999999998</v>
      </c>
      <c r="O42" s="374">
        <f t="shared" si="35"/>
        <v>2375.8517999999995</v>
      </c>
      <c r="P42" s="373">
        <f t="shared" si="36"/>
        <v>11906.1346906</v>
      </c>
      <c r="Q42" s="373">
        <f t="shared" si="15"/>
        <v>28758.517999999996</v>
      </c>
      <c r="R42" s="374">
        <f>H42*0.2</f>
        <v>2875.8517999999999</v>
      </c>
      <c r="S42" s="373">
        <f t="shared" si="37"/>
        <v>11406.134690599998</v>
      </c>
      <c r="T42" s="373">
        <f t="shared" si="38"/>
        <v>43137.776999999995</v>
      </c>
      <c r="U42" s="376">
        <f t="shared" si="75"/>
        <v>4145.4961899999998</v>
      </c>
      <c r="V42" s="373">
        <f t="shared" si="40"/>
        <v>10136.490300599999</v>
      </c>
      <c r="W42" s="373">
        <f t="shared" si="41"/>
        <v>57517.035999999993</v>
      </c>
      <c r="X42" s="376">
        <f t="shared" si="72"/>
        <v>3882.3999299999996</v>
      </c>
      <c r="Y42" s="373">
        <f t="shared" si="43"/>
        <v>10399.586560599999</v>
      </c>
      <c r="Z42" s="373">
        <f t="shared" si="44"/>
        <v>71896.294999999984</v>
      </c>
      <c r="AA42" s="376">
        <f t="shared" si="45"/>
        <v>3882.3999299999996</v>
      </c>
      <c r="AB42" s="373">
        <f t="shared" si="46"/>
        <v>10399.586560599999</v>
      </c>
      <c r="AC42" s="373">
        <f t="shared" si="47"/>
        <v>86275.553999999989</v>
      </c>
      <c r="AD42" s="376">
        <f t="shared" si="76"/>
        <v>3882.3999299999996</v>
      </c>
      <c r="AE42" s="373">
        <f t="shared" si="48"/>
        <v>10399.586560599999</v>
      </c>
      <c r="AF42" s="373">
        <f t="shared" si="49"/>
        <v>100654.81299999999</v>
      </c>
      <c r="AG42" s="376">
        <f t="shared" ref="AG42:AG52" si="77">H42*0.27</f>
        <v>3882.3999299999996</v>
      </c>
      <c r="AH42" s="373">
        <f t="shared" si="50"/>
        <v>10399.586560599999</v>
      </c>
      <c r="AI42" s="373">
        <f t="shared" si="51"/>
        <v>115034.07199999999</v>
      </c>
      <c r="AJ42" s="377">
        <f>(AI42-88000)*0.35+(88000-AF42)*0.27</f>
        <v>6045.1256899999953</v>
      </c>
      <c r="AK42" s="373">
        <f t="shared" si="52"/>
        <v>8236.8608006000031</v>
      </c>
      <c r="AL42" s="373">
        <f t="shared" si="53"/>
        <v>129413.33099999998</v>
      </c>
      <c r="AM42" s="377">
        <f>H42*0.35</f>
        <v>5032.7406499999988</v>
      </c>
      <c r="AN42" s="373">
        <f t="shared" si="54"/>
        <v>9249.2458406000005</v>
      </c>
      <c r="AO42" s="373">
        <f t="shared" si="55"/>
        <v>143792.58999999997</v>
      </c>
      <c r="AP42" s="377">
        <f>H42*0.35</f>
        <v>5032.7406499999988</v>
      </c>
      <c r="AQ42" s="373">
        <f t="shared" si="70"/>
        <v>12914.145954399999</v>
      </c>
      <c r="AR42" s="373">
        <f t="shared" si="57"/>
        <v>158171.84899999999</v>
      </c>
      <c r="AS42" s="377">
        <f t="shared" si="73"/>
        <v>5032.7406499999988</v>
      </c>
      <c r="AT42" s="373">
        <f t="shared" si="59"/>
        <v>9249.2458406000005</v>
      </c>
      <c r="AU42" s="373">
        <f t="shared" si="60"/>
        <v>172551.10799999998</v>
      </c>
      <c r="AV42" s="377">
        <f t="shared" si="74"/>
        <v>5032.7406499999988</v>
      </c>
      <c r="AW42" s="373">
        <f t="shared" si="62"/>
        <v>9249.2458406000005</v>
      </c>
      <c r="AX42" s="292"/>
    </row>
    <row r="43" spans="1:50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34"/>
        <v>19984.079999999998</v>
      </c>
      <c r="G43" s="233">
        <v>359</v>
      </c>
      <c r="H43" s="353">
        <f t="shared" si="63"/>
        <v>14379.258999999998</v>
      </c>
      <c r="I43" s="363">
        <v>0.65</v>
      </c>
      <c r="J43" s="362">
        <v>7000</v>
      </c>
      <c r="K43" s="361">
        <f t="shared" si="12"/>
        <v>10664.909723416667</v>
      </c>
      <c r="L43" s="390">
        <f t="shared" si="64"/>
        <v>11345.648641932625</v>
      </c>
      <c r="M43" s="372">
        <f t="shared" si="13"/>
        <v>97.27250939999999</v>
      </c>
      <c r="N43" s="373">
        <f t="shared" si="14"/>
        <v>14379.258999999998</v>
      </c>
      <c r="O43" s="378">
        <f t="shared" ref="O43:O54" si="78">N43*0.15</f>
        <v>2156.8888499999998</v>
      </c>
      <c r="P43" s="373">
        <f t="shared" si="36"/>
        <v>12125.097640599999</v>
      </c>
      <c r="Q43" s="373">
        <f t="shared" si="15"/>
        <v>28758.517999999996</v>
      </c>
      <c r="R43" s="374">
        <f t="shared" ref="R43:R51" si="79">(Q43-10000)*0.2+(10000-N43)*0.15</f>
        <v>3094.8147499999995</v>
      </c>
      <c r="S43" s="373">
        <f t="shared" si="37"/>
        <v>11187.171740599999</v>
      </c>
      <c r="T43" s="373">
        <f t="shared" si="38"/>
        <v>43137.776999999995</v>
      </c>
      <c r="U43" s="376">
        <f t="shared" si="75"/>
        <v>4145.4961899999998</v>
      </c>
      <c r="V43" s="373">
        <f t="shared" si="40"/>
        <v>10136.490300599999</v>
      </c>
      <c r="W43" s="373">
        <f t="shared" si="41"/>
        <v>57517.035999999993</v>
      </c>
      <c r="X43" s="376">
        <f t="shared" si="72"/>
        <v>3882.3999299999996</v>
      </c>
      <c r="Y43" s="373">
        <f t="shared" si="43"/>
        <v>10399.586560599999</v>
      </c>
      <c r="Z43" s="373">
        <f t="shared" si="44"/>
        <v>71896.294999999984</v>
      </c>
      <c r="AA43" s="376">
        <f t="shared" si="45"/>
        <v>3882.3999299999996</v>
      </c>
      <c r="AB43" s="373">
        <f t="shared" si="46"/>
        <v>10399.586560599999</v>
      </c>
      <c r="AC43" s="373">
        <f t="shared" si="47"/>
        <v>86275.553999999989</v>
      </c>
      <c r="AD43" s="376">
        <f t="shared" si="76"/>
        <v>3882.3999299999996</v>
      </c>
      <c r="AE43" s="373">
        <f t="shared" si="48"/>
        <v>10399.586560599999</v>
      </c>
      <c r="AF43" s="373">
        <f t="shared" si="49"/>
        <v>100654.81299999999</v>
      </c>
      <c r="AG43" s="376">
        <f t="shared" si="77"/>
        <v>3882.3999299999996</v>
      </c>
      <c r="AH43" s="373">
        <f t="shared" si="50"/>
        <v>10399.586560599999</v>
      </c>
      <c r="AI43" s="373">
        <f t="shared" si="51"/>
        <v>115034.07199999999</v>
      </c>
      <c r="AJ43" s="376">
        <f t="shared" ref="AJ43:AJ54" si="80">H43*0.27</f>
        <v>3882.3999299999996</v>
      </c>
      <c r="AK43" s="373">
        <f t="shared" si="52"/>
        <v>10399.586560599999</v>
      </c>
      <c r="AL43" s="373">
        <f t="shared" si="53"/>
        <v>129413.33099999998</v>
      </c>
      <c r="AM43" s="376">
        <f>H43*0.27</f>
        <v>3882.3999299999996</v>
      </c>
      <c r="AN43" s="373">
        <f>H43-M43-AM43</f>
        <v>10399.586560599999</v>
      </c>
      <c r="AO43" s="373">
        <f t="shared" si="55"/>
        <v>143792.58999999997</v>
      </c>
      <c r="AP43" s="377">
        <f>(AO43-88000)*0.35+(88000-AL43)*0.27</f>
        <v>8345.807129999992</v>
      </c>
      <c r="AQ43" s="373">
        <f t="shared" si="70"/>
        <v>12914.145954399999</v>
      </c>
      <c r="AR43" s="373">
        <f t="shared" si="57"/>
        <v>158171.84899999999</v>
      </c>
      <c r="AS43" s="377">
        <f t="shared" si="73"/>
        <v>5032.7406499999988</v>
      </c>
      <c r="AT43" s="373">
        <f t="shared" si="59"/>
        <v>9249.2458406000005</v>
      </c>
      <c r="AU43" s="373">
        <f t="shared" si="60"/>
        <v>172551.10799999998</v>
      </c>
      <c r="AV43" s="377">
        <f t="shared" si="74"/>
        <v>5032.7406499999988</v>
      </c>
      <c r="AW43" s="373">
        <f t="shared" si="62"/>
        <v>9249.2458406000005</v>
      </c>
      <c r="AX43" s="292"/>
    </row>
    <row r="44" spans="1:50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34"/>
        <v>19984.079999999998</v>
      </c>
      <c r="G44" s="233">
        <v>359</v>
      </c>
      <c r="H44" s="353">
        <f t="shared" si="63"/>
        <v>14379.258999999998</v>
      </c>
      <c r="I44" s="363">
        <v>0.65</v>
      </c>
      <c r="J44" s="362">
        <v>6700</v>
      </c>
      <c r="K44" s="361">
        <f t="shared" si="12"/>
        <v>10664.909723416667</v>
      </c>
      <c r="L44" s="390">
        <f t="shared" si="64"/>
        <v>11345.648641932625</v>
      </c>
      <c r="M44" s="372">
        <f t="shared" si="13"/>
        <v>97.27250939999999</v>
      </c>
      <c r="N44" s="373">
        <f t="shared" si="14"/>
        <v>14379.258999999998</v>
      </c>
      <c r="O44" s="378">
        <f t="shared" si="78"/>
        <v>2156.8888499999998</v>
      </c>
      <c r="P44" s="373">
        <f t="shared" si="36"/>
        <v>12125.097640599999</v>
      </c>
      <c r="Q44" s="373">
        <f t="shared" si="15"/>
        <v>28758.517999999996</v>
      </c>
      <c r="R44" s="374">
        <f t="shared" si="79"/>
        <v>3094.8147499999995</v>
      </c>
      <c r="S44" s="373">
        <f t="shared" si="37"/>
        <v>11187.171740599999</v>
      </c>
      <c r="T44" s="373">
        <f t="shared" si="38"/>
        <v>43137.776999999995</v>
      </c>
      <c r="U44" s="376">
        <f t="shared" si="75"/>
        <v>4145.4961899999998</v>
      </c>
      <c r="V44" s="373">
        <f t="shared" si="40"/>
        <v>10136.490300599999</v>
      </c>
      <c r="W44" s="373">
        <f t="shared" si="41"/>
        <v>57517.035999999993</v>
      </c>
      <c r="X44" s="376">
        <f t="shared" si="72"/>
        <v>3882.3999299999996</v>
      </c>
      <c r="Y44" s="373">
        <f t="shared" si="43"/>
        <v>10399.586560599999</v>
      </c>
      <c r="Z44" s="373">
        <f t="shared" si="44"/>
        <v>71896.294999999984</v>
      </c>
      <c r="AA44" s="376">
        <f t="shared" si="45"/>
        <v>3882.3999299999996</v>
      </c>
      <c r="AB44" s="373">
        <f t="shared" si="46"/>
        <v>10399.586560599999</v>
      </c>
      <c r="AC44" s="373">
        <f t="shared" si="47"/>
        <v>86275.553999999989</v>
      </c>
      <c r="AD44" s="376">
        <f t="shared" si="76"/>
        <v>3882.3999299999996</v>
      </c>
      <c r="AE44" s="373">
        <f t="shared" si="48"/>
        <v>10399.586560599999</v>
      </c>
      <c r="AF44" s="373">
        <f t="shared" si="49"/>
        <v>100654.81299999999</v>
      </c>
      <c r="AG44" s="376">
        <f t="shared" si="77"/>
        <v>3882.3999299999996</v>
      </c>
      <c r="AH44" s="373">
        <f t="shared" si="50"/>
        <v>10399.586560599999</v>
      </c>
      <c r="AI44" s="373">
        <f t="shared" si="51"/>
        <v>115034.07199999999</v>
      </c>
      <c r="AJ44" s="376">
        <f t="shared" si="80"/>
        <v>3882.3999299999996</v>
      </c>
      <c r="AK44" s="373">
        <f t="shared" si="52"/>
        <v>10399.586560599999</v>
      </c>
      <c r="AL44" s="373">
        <f t="shared" si="53"/>
        <v>129413.33099999998</v>
      </c>
      <c r="AM44" s="376">
        <f>H44*0.27</f>
        <v>3882.3999299999996</v>
      </c>
      <c r="AN44" s="373">
        <f>H44-M44-AM44</f>
        <v>10399.586560599999</v>
      </c>
      <c r="AO44" s="373">
        <f t="shared" si="55"/>
        <v>143792.58999999997</v>
      </c>
      <c r="AP44" s="377">
        <f>(AO44-88000)*0.35+(88000-AL44)*0.27</f>
        <v>8345.807129999992</v>
      </c>
      <c r="AQ44" s="373">
        <f t="shared" si="70"/>
        <v>12914.145954399999</v>
      </c>
      <c r="AR44" s="373">
        <f t="shared" si="57"/>
        <v>158171.84899999999</v>
      </c>
      <c r="AS44" s="377">
        <f t="shared" si="73"/>
        <v>5032.7406499999988</v>
      </c>
      <c r="AT44" s="373">
        <f t="shared" si="59"/>
        <v>9249.2458406000005</v>
      </c>
      <c r="AU44" s="373">
        <f t="shared" si="60"/>
        <v>172551.10799999998</v>
      </c>
      <c r="AV44" s="377">
        <f t="shared" si="74"/>
        <v>5032.7406499999988</v>
      </c>
      <c r="AW44" s="373">
        <f t="shared" si="62"/>
        <v>9249.2458406000005</v>
      </c>
      <c r="AX44" s="292"/>
    </row>
    <row r="45" spans="1:50" ht="28.5" x14ac:dyDescent="0.45">
      <c r="A45" s="716"/>
      <c r="B45" s="458" t="s">
        <v>226</v>
      </c>
      <c r="C45" s="231">
        <v>200</v>
      </c>
      <c r="D45" s="234">
        <v>4996.0199999999995</v>
      </c>
      <c r="E45" s="234">
        <v>6661.36</v>
      </c>
      <c r="F45" s="234">
        <f t="shared" si="34"/>
        <v>11657.38</v>
      </c>
      <c r="G45" s="233">
        <v>359</v>
      </c>
      <c r="H45" s="353">
        <f t="shared" si="63"/>
        <v>8966.9039999999986</v>
      </c>
      <c r="I45" s="363">
        <v>0.65</v>
      </c>
      <c r="J45" s="362">
        <v>6800</v>
      </c>
      <c r="K45" s="361">
        <f t="shared" si="12"/>
        <v>6699.9988622499986</v>
      </c>
      <c r="L45" s="390">
        <f t="shared" si="64"/>
        <v>7127.6583640957433</v>
      </c>
      <c r="M45" s="372">
        <f t="shared" si="13"/>
        <v>61.550966399999993</v>
      </c>
      <c r="N45" s="373">
        <f t="shared" si="14"/>
        <v>8966.9039999999986</v>
      </c>
      <c r="O45" s="378">
        <f t="shared" si="78"/>
        <v>1345.0355999999997</v>
      </c>
      <c r="P45" s="373">
        <f t="shared" si="36"/>
        <v>7560.3174335999993</v>
      </c>
      <c r="Q45" s="373">
        <f t="shared" si="15"/>
        <v>17933.807999999997</v>
      </c>
      <c r="R45" s="374">
        <f t="shared" si="79"/>
        <v>1741.7259999999999</v>
      </c>
      <c r="S45" s="373">
        <f t="shared" si="37"/>
        <v>7163.6270335999989</v>
      </c>
      <c r="T45" s="373">
        <f t="shared" si="38"/>
        <v>26900.711999999996</v>
      </c>
      <c r="U45" s="376">
        <f t="shared" si="75"/>
        <v>1926.4306399999996</v>
      </c>
      <c r="V45" s="373">
        <f t="shared" si="40"/>
        <v>6978.9223935999989</v>
      </c>
      <c r="W45" s="373">
        <f t="shared" si="41"/>
        <v>35867.615999999995</v>
      </c>
      <c r="X45" s="376">
        <f t="shared" si="72"/>
        <v>2421.0640799999996</v>
      </c>
      <c r="Y45" s="373">
        <f t="shared" si="43"/>
        <v>6484.2889535999984</v>
      </c>
      <c r="Z45" s="373">
        <f t="shared" si="44"/>
        <v>44834.51999999999</v>
      </c>
      <c r="AA45" s="376">
        <f t="shared" si="45"/>
        <v>2421.0640799999996</v>
      </c>
      <c r="AB45" s="373">
        <f t="shared" si="46"/>
        <v>6484.2889535999984</v>
      </c>
      <c r="AC45" s="373">
        <f t="shared" si="47"/>
        <v>53801.423999999992</v>
      </c>
      <c r="AD45" s="376">
        <f t="shared" si="76"/>
        <v>2421.0640799999996</v>
      </c>
      <c r="AE45" s="373">
        <f t="shared" si="48"/>
        <v>6484.2889535999984</v>
      </c>
      <c r="AF45" s="373">
        <f t="shared" si="49"/>
        <v>62768.327999999994</v>
      </c>
      <c r="AG45" s="376">
        <f t="shared" si="77"/>
        <v>2421.0640799999996</v>
      </c>
      <c r="AH45" s="373">
        <f t="shared" si="50"/>
        <v>6484.2889535999984</v>
      </c>
      <c r="AI45" s="373">
        <f t="shared" si="51"/>
        <v>71735.231999999989</v>
      </c>
      <c r="AJ45" s="376">
        <f t="shared" si="80"/>
        <v>2421.0640799999996</v>
      </c>
      <c r="AK45" s="373">
        <f t="shared" si="52"/>
        <v>6484.2889535999984</v>
      </c>
      <c r="AL45" s="373">
        <f t="shared" si="53"/>
        <v>80702.135999999984</v>
      </c>
      <c r="AM45" s="376">
        <f>H45*0.27</f>
        <v>2421.0640799999996</v>
      </c>
      <c r="AN45" s="373">
        <f t="shared" si="54"/>
        <v>6484.2889535999984</v>
      </c>
      <c r="AO45" s="373">
        <f t="shared" si="55"/>
        <v>89669.039999999979</v>
      </c>
      <c r="AP45" s="377">
        <f>(AO45-88000)*0.35+(88000-AL45)*0.27</f>
        <v>2554.587279999997</v>
      </c>
      <c r="AQ45" s="373">
        <f t="shared" si="70"/>
        <v>7537.5124973999991</v>
      </c>
      <c r="AR45" s="373">
        <f t="shared" si="57"/>
        <v>98635.943999999989</v>
      </c>
      <c r="AS45" s="377">
        <f t="shared" si="73"/>
        <v>3138.4163999999992</v>
      </c>
      <c r="AT45" s="373">
        <f t="shared" si="59"/>
        <v>5766.9366335999994</v>
      </c>
      <c r="AU45" s="373">
        <f t="shared" si="60"/>
        <v>107602.84799999998</v>
      </c>
      <c r="AV45" s="377">
        <f t="shared" si="74"/>
        <v>3138.4163999999992</v>
      </c>
      <c r="AW45" s="373">
        <f t="shared" si="62"/>
        <v>5766.9366335999994</v>
      </c>
      <c r="AX45" s="292"/>
    </row>
    <row r="46" spans="1:50" ht="28.5" x14ac:dyDescent="0.45">
      <c r="A46" s="716"/>
      <c r="B46" s="458" t="s">
        <v>227</v>
      </c>
      <c r="C46" s="231">
        <v>200</v>
      </c>
      <c r="D46" s="234">
        <v>4996.0199999999995</v>
      </c>
      <c r="E46" s="234">
        <v>6661.36</v>
      </c>
      <c r="F46" s="234">
        <f t="shared" si="34"/>
        <v>11657.38</v>
      </c>
      <c r="G46" s="233">
        <v>359</v>
      </c>
      <c r="H46" s="353">
        <f t="shared" si="63"/>
        <v>8966.9039999999986</v>
      </c>
      <c r="I46" s="363">
        <v>0.65</v>
      </c>
      <c r="J46" s="362">
        <v>6000</v>
      </c>
      <c r="K46" s="361">
        <f t="shared" si="12"/>
        <v>6617.9656355833331</v>
      </c>
      <c r="L46" s="390">
        <f t="shared" si="64"/>
        <v>7040.3889740248233</v>
      </c>
      <c r="M46" s="372">
        <f t="shared" si="13"/>
        <v>61.550966399999993</v>
      </c>
      <c r="N46" s="373">
        <f t="shared" si="14"/>
        <v>8966.9039999999986</v>
      </c>
      <c r="O46" s="378">
        <f t="shared" si="78"/>
        <v>1345.0355999999997</v>
      </c>
      <c r="P46" s="373">
        <f t="shared" si="36"/>
        <v>7560.3174335999993</v>
      </c>
      <c r="Q46" s="373">
        <f t="shared" si="15"/>
        <v>17933.807999999997</v>
      </c>
      <c r="R46" s="374">
        <f t="shared" si="79"/>
        <v>1741.7259999999999</v>
      </c>
      <c r="S46" s="373">
        <f t="shared" si="37"/>
        <v>7163.6270335999989</v>
      </c>
      <c r="T46" s="373">
        <f t="shared" si="38"/>
        <v>26900.711999999996</v>
      </c>
      <c r="U46" s="374">
        <f>H46*0.2</f>
        <v>1793.3807999999999</v>
      </c>
      <c r="V46" s="373">
        <f t="shared" si="40"/>
        <v>7111.9722335999986</v>
      </c>
      <c r="W46" s="373">
        <f t="shared" si="41"/>
        <v>35867.615999999995</v>
      </c>
      <c r="X46" s="376">
        <f>(W46-25000)*0.27+(25000-T46)*0.2</f>
        <v>2554.1139199999993</v>
      </c>
      <c r="Y46" s="373">
        <f t="shared" si="43"/>
        <v>6351.2391135999987</v>
      </c>
      <c r="Z46" s="373">
        <f t="shared" si="44"/>
        <v>44834.51999999999</v>
      </c>
      <c r="AA46" s="376">
        <f t="shared" si="45"/>
        <v>2421.0640799999996</v>
      </c>
      <c r="AB46" s="373">
        <f t="shared" si="46"/>
        <v>6484.2889535999984</v>
      </c>
      <c r="AC46" s="373">
        <f t="shared" si="47"/>
        <v>53801.423999999992</v>
      </c>
      <c r="AD46" s="376">
        <f t="shared" si="76"/>
        <v>2421.0640799999996</v>
      </c>
      <c r="AE46" s="373">
        <f t="shared" si="48"/>
        <v>6484.2889535999984</v>
      </c>
      <c r="AF46" s="373">
        <f t="shared" si="49"/>
        <v>62768.327999999994</v>
      </c>
      <c r="AG46" s="376">
        <f t="shared" si="77"/>
        <v>2421.0640799999996</v>
      </c>
      <c r="AH46" s="373">
        <f t="shared" si="50"/>
        <v>6484.2889535999984</v>
      </c>
      <c r="AI46" s="373">
        <f t="shared" si="51"/>
        <v>71735.231999999989</v>
      </c>
      <c r="AJ46" s="376">
        <f t="shared" si="80"/>
        <v>2421.0640799999996</v>
      </c>
      <c r="AK46" s="373">
        <f t="shared" si="52"/>
        <v>6484.2889535999984</v>
      </c>
      <c r="AL46" s="373">
        <f t="shared" si="53"/>
        <v>80702.135999999984</v>
      </c>
      <c r="AM46" s="376">
        <f>H46*0.27</f>
        <v>2421.0640799999996</v>
      </c>
      <c r="AN46" s="373">
        <f t="shared" si="54"/>
        <v>6484.2889535999984</v>
      </c>
      <c r="AO46" s="373">
        <f t="shared" si="55"/>
        <v>89669.039999999979</v>
      </c>
      <c r="AP46" s="376">
        <f>H46*0.27</f>
        <v>2421.0640799999996</v>
      </c>
      <c r="AQ46" s="373">
        <f t="shared" si="70"/>
        <v>7537.5124973999991</v>
      </c>
      <c r="AR46" s="373">
        <f t="shared" si="57"/>
        <v>98635.943999999989</v>
      </c>
      <c r="AS46" s="377">
        <f>(AR46-88000)*0.35+(88000-AO46)*0.27</f>
        <v>3271.9396000000015</v>
      </c>
      <c r="AT46" s="373">
        <f t="shared" si="59"/>
        <v>5633.413433599997</v>
      </c>
      <c r="AU46" s="373">
        <f t="shared" si="60"/>
        <v>107602.84799999998</v>
      </c>
      <c r="AV46" s="377">
        <f>(AU46-88000)*0.35+(88000-AR46)*0.27</f>
        <v>3989.2919199999965</v>
      </c>
      <c r="AW46" s="373">
        <f t="shared" si="62"/>
        <v>4916.0611136000025</v>
      </c>
      <c r="AX46" s="292"/>
    </row>
    <row r="47" spans="1:50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34"/>
        <v>13988.856</v>
      </c>
      <c r="G47" s="233">
        <v>359</v>
      </c>
      <c r="H47" s="353">
        <f t="shared" si="63"/>
        <v>10482.363399999998</v>
      </c>
      <c r="I47" s="363">
        <v>0.65</v>
      </c>
      <c r="J47" s="362">
        <v>7351</v>
      </c>
      <c r="K47" s="361">
        <f t="shared" si="12"/>
        <v>7767.898766043334</v>
      </c>
      <c r="L47" s="390">
        <f t="shared" si="64"/>
        <v>8263.7220915354628</v>
      </c>
      <c r="M47" s="372">
        <f t="shared" si="13"/>
        <v>71.552998439999982</v>
      </c>
      <c r="N47" s="373">
        <f t="shared" si="14"/>
        <v>10482.363399999998</v>
      </c>
      <c r="O47" s="378">
        <f t="shared" si="78"/>
        <v>1572.3545099999997</v>
      </c>
      <c r="P47" s="373">
        <f t="shared" si="36"/>
        <v>8838.4558915599991</v>
      </c>
      <c r="Q47" s="373">
        <f t="shared" si="15"/>
        <v>20964.726799999997</v>
      </c>
      <c r="R47" s="374">
        <f t="shared" si="79"/>
        <v>2120.5908499999996</v>
      </c>
      <c r="S47" s="373">
        <f t="shared" si="37"/>
        <v>8290.2195515599997</v>
      </c>
      <c r="T47" s="373">
        <f t="shared" si="38"/>
        <v>31447.090199999995</v>
      </c>
      <c r="U47" s="376">
        <f>(T47-25000)*0.27+(25000-Q47)*0.2</f>
        <v>2547.7689939999996</v>
      </c>
      <c r="V47" s="373">
        <f t="shared" si="40"/>
        <v>7863.0414075599983</v>
      </c>
      <c r="W47" s="373">
        <f t="shared" si="41"/>
        <v>41929.453599999993</v>
      </c>
      <c r="X47" s="376">
        <f>H47*0.27</f>
        <v>2830.2381179999998</v>
      </c>
      <c r="Y47" s="373">
        <f t="shared" si="43"/>
        <v>7580.5722835599991</v>
      </c>
      <c r="Z47" s="373">
        <f t="shared" si="44"/>
        <v>52411.816999999995</v>
      </c>
      <c r="AA47" s="376">
        <f t="shared" si="45"/>
        <v>2830.2381179999998</v>
      </c>
      <c r="AB47" s="373">
        <f t="shared" si="46"/>
        <v>7580.5722835599991</v>
      </c>
      <c r="AC47" s="373">
        <f t="shared" si="47"/>
        <v>62894.18039999999</v>
      </c>
      <c r="AD47" s="376">
        <f t="shared" si="76"/>
        <v>2830.2381179999998</v>
      </c>
      <c r="AE47" s="373">
        <f t="shared" si="48"/>
        <v>7580.5722835599991</v>
      </c>
      <c r="AF47" s="373">
        <f t="shared" si="49"/>
        <v>73376.543799999985</v>
      </c>
      <c r="AG47" s="376">
        <f t="shared" si="77"/>
        <v>2830.2381179999998</v>
      </c>
      <c r="AH47" s="373">
        <f t="shared" si="50"/>
        <v>7580.5722835599991</v>
      </c>
      <c r="AI47" s="373">
        <f t="shared" si="51"/>
        <v>83858.907199999987</v>
      </c>
      <c r="AJ47" s="376">
        <f t="shared" si="80"/>
        <v>2830.2381179999998</v>
      </c>
      <c r="AK47" s="373">
        <f t="shared" si="52"/>
        <v>7580.5722835599991</v>
      </c>
      <c r="AL47" s="373">
        <f t="shared" si="53"/>
        <v>94341.270599999989</v>
      </c>
      <c r="AM47" s="377">
        <f>(AL47-88000)*0.35+(88000-AI47)*0.27</f>
        <v>3337.5397659999999</v>
      </c>
      <c r="AN47" s="373">
        <f t="shared" si="54"/>
        <v>7073.2706355599985</v>
      </c>
      <c r="AO47" s="373">
        <f t="shared" si="55"/>
        <v>104823.63399999999</v>
      </c>
      <c r="AP47" s="377">
        <f>H47*0.35</f>
        <v>3668.8271899999991</v>
      </c>
      <c r="AQ47" s="373">
        <f t="shared" si="70"/>
        <v>9042.9698653599989</v>
      </c>
      <c r="AR47" s="373">
        <f t="shared" si="57"/>
        <v>115305.99739999998</v>
      </c>
      <c r="AS47" s="377">
        <f>H47*0.35</f>
        <v>3668.8271899999991</v>
      </c>
      <c r="AT47" s="373">
        <f t="shared" si="59"/>
        <v>6741.9832115599993</v>
      </c>
      <c r="AU47" s="373">
        <f t="shared" si="60"/>
        <v>125788.36079999998</v>
      </c>
      <c r="AV47" s="377">
        <f>H47*0.35</f>
        <v>3668.8271899999991</v>
      </c>
      <c r="AW47" s="373">
        <f t="shared" si="62"/>
        <v>6741.9832115599993</v>
      </c>
      <c r="AX47" s="292"/>
    </row>
    <row r="48" spans="1:50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34"/>
        <v>13988.856</v>
      </c>
      <c r="G48" s="233">
        <v>359</v>
      </c>
      <c r="H48" s="353">
        <f t="shared" si="63"/>
        <v>10482.363399999998</v>
      </c>
      <c r="I48" s="363">
        <v>0.65</v>
      </c>
      <c r="J48" s="362">
        <v>6000</v>
      </c>
      <c r="K48" s="361">
        <f t="shared" si="12"/>
        <v>7698.0163433766675</v>
      </c>
      <c r="L48" s="390">
        <f t="shared" si="64"/>
        <v>8189.3790886985826</v>
      </c>
      <c r="M48" s="372">
        <f t="shared" si="13"/>
        <v>71.552998439999982</v>
      </c>
      <c r="N48" s="373">
        <f t="shared" si="14"/>
        <v>10482.363399999998</v>
      </c>
      <c r="O48" s="378">
        <f t="shared" si="78"/>
        <v>1572.3545099999997</v>
      </c>
      <c r="P48" s="373">
        <f t="shared" si="36"/>
        <v>8838.4558915599991</v>
      </c>
      <c r="Q48" s="373">
        <f t="shared" si="15"/>
        <v>20964.726799999997</v>
      </c>
      <c r="R48" s="374">
        <f t="shared" si="79"/>
        <v>2120.5908499999996</v>
      </c>
      <c r="S48" s="373">
        <f t="shared" si="37"/>
        <v>8290.2195515599997</v>
      </c>
      <c r="T48" s="373">
        <f t="shared" si="38"/>
        <v>31447.090199999995</v>
      </c>
      <c r="U48" s="374">
        <f>H48*0.2</f>
        <v>2096.4726799999999</v>
      </c>
      <c r="V48" s="373">
        <f t="shared" si="40"/>
        <v>8314.3377215599976</v>
      </c>
      <c r="W48" s="373">
        <f t="shared" si="41"/>
        <v>41929.453599999993</v>
      </c>
      <c r="X48" s="376">
        <f>(W48-25000)*0.27+(25000-T48)*0.2</f>
        <v>3281.534431999999</v>
      </c>
      <c r="Y48" s="373">
        <f t="shared" si="43"/>
        <v>7129.2759695599998</v>
      </c>
      <c r="Z48" s="373">
        <f t="shared" si="44"/>
        <v>52411.816999999995</v>
      </c>
      <c r="AA48" s="376">
        <f t="shared" si="45"/>
        <v>2830.2381179999998</v>
      </c>
      <c r="AB48" s="373">
        <f t="shared" si="46"/>
        <v>7580.5722835599991</v>
      </c>
      <c r="AC48" s="373">
        <f t="shared" si="47"/>
        <v>62894.18039999999</v>
      </c>
      <c r="AD48" s="376">
        <f t="shared" si="76"/>
        <v>2830.2381179999998</v>
      </c>
      <c r="AE48" s="373">
        <f t="shared" si="48"/>
        <v>7580.5722835599991</v>
      </c>
      <c r="AF48" s="373">
        <f t="shared" si="49"/>
        <v>73376.543799999985</v>
      </c>
      <c r="AG48" s="376">
        <f t="shared" si="77"/>
        <v>2830.2381179999998</v>
      </c>
      <c r="AH48" s="373">
        <f t="shared" si="50"/>
        <v>7580.5722835599991</v>
      </c>
      <c r="AI48" s="373">
        <f t="shared" si="51"/>
        <v>83858.907199999987</v>
      </c>
      <c r="AJ48" s="376">
        <f t="shared" si="80"/>
        <v>2830.2381179999998</v>
      </c>
      <c r="AK48" s="373">
        <f t="shared" si="52"/>
        <v>7580.5722835599991</v>
      </c>
      <c r="AL48" s="373">
        <f t="shared" si="53"/>
        <v>94341.270599999989</v>
      </c>
      <c r="AM48" s="376">
        <f t="shared" ref="AM48:AM54" si="81">H48*0.27</f>
        <v>2830.2381179999998</v>
      </c>
      <c r="AN48" s="373">
        <f t="shared" si="54"/>
        <v>7580.5722835599991</v>
      </c>
      <c r="AO48" s="373">
        <f t="shared" si="55"/>
        <v>104823.63399999999</v>
      </c>
      <c r="AP48" s="376">
        <f>H48*0.27</f>
        <v>2830.2381179999998</v>
      </c>
      <c r="AQ48" s="373">
        <f t="shared" si="70"/>
        <v>9042.9698653599989</v>
      </c>
      <c r="AR48" s="373">
        <f t="shared" si="57"/>
        <v>115305.99739999998</v>
      </c>
      <c r="AS48" s="377">
        <f>(AR48-88000)*0.35+(88000-AO48)*0.27</f>
        <v>5014.7179099999948</v>
      </c>
      <c r="AT48" s="373">
        <f t="shared" si="59"/>
        <v>5396.0924915600035</v>
      </c>
      <c r="AU48" s="373">
        <f t="shared" si="60"/>
        <v>125788.36079999998</v>
      </c>
      <c r="AV48" s="377">
        <f>H48*0.35</f>
        <v>3668.8271899999991</v>
      </c>
      <c r="AW48" s="373">
        <f t="shared" si="62"/>
        <v>6741.9832115599993</v>
      </c>
      <c r="AX48" s="292"/>
    </row>
    <row r="49" spans="1:50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34"/>
        <v>10991.243999999999</v>
      </c>
      <c r="G49" s="233">
        <v>359</v>
      </c>
      <c r="H49" s="353">
        <f t="shared" si="63"/>
        <v>8533.9156000000003</v>
      </c>
      <c r="I49" s="363">
        <v>0.65</v>
      </c>
      <c r="J49" s="362">
        <v>6100</v>
      </c>
      <c r="K49" s="361">
        <f t="shared" si="12"/>
        <v>6400.5449533566689</v>
      </c>
      <c r="L49" s="390">
        <f t="shared" si="64"/>
        <v>6809.0903759113498</v>
      </c>
      <c r="M49" s="372">
        <f t="shared" si="13"/>
        <v>58.693242959999999</v>
      </c>
      <c r="N49" s="373">
        <f t="shared" si="14"/>
        <v>8533.9156000000003</v>
      </c>
      <c r="O49" s="378">
        <f t="shared" si="78"/>
        <v>1280.08734</v>
      </c>
      <c r="P49" s="373">
        <f t="shared" si="36"/>
        <v>7195.1350170400001</v>
      </c>
      <c r="Q49" s="373">
        <f t="shared" si="15"/>
        <v>17067.831200000001</v>
      </c>
      <c r="R49" s="374">
        <f t="shared" si="79"/>
        <v>1633.4789000000001</v>
      </c>
      <c r="S49" s="373">
        <f t="shared" si="37"/>
        <v>6841.7434570400001</v>
      </c>
      <c r="T49" s="373">
        <f t="shared" si="38"/>
        <v>25601.746800000001</v>
      </c>
      <c r="U49" s="374">
        <f>H49*0.2</f>
        <v>1706.7831200000001</v>
      </c>
      <c r="V49" s="373">
        <f t="shared" si="40"/>
        <v>6768.4392370400001</v>
      </c>
      <c r="W49" s="373">
        <f t="shared" si="41"/>
        <v>34135.662400000001</v>
      </c>
      <c r="X49" s="376">
        <f>(W49-25000)*0.27+(25000-T49)*0.2</f>
        <v>2346.2794880000001</v>
      </c>
      <c r="Y49" s="373">
        <f t="shared" si="43"/>
        <v>6128.94286904</v>
      </c>
      <c r="Z49" s="373">
        <f t="shared" si="44"/>
        <v>42669.578000000001</v>
      </c>
      <c r="AA49" s="376">
        <f t="shared" si="45"/>
        <v>2304.1572120000001</v>
      </c>
      <c r="AB49" s="373">
        <f t="shared" si="46"/>
        <v>6171.0651450400001</v>
      </c>
      <c r="AC49" s="373">
        <f t="shared" si="47"/>
        <v>51203.493600000002</v>
      </c>
      <c r="AD49" s="376">
        <f t="shared" si="76"/>
        <v>2304.1572120000001</v>
      </c>
      <c r="AE49" s="373">
        <f t="shared" si="48"/>
        <v>6171.0651450400001</v>
      </c>
      <c r="AF49" s="373">
        <f t="shared" si="49"/>
        <v>59737.409200000002</v>
      </c>
      <c r="AG49" s="376">
        <f t="shared" si="77"/>
        <v>2304.1572120000001</v>
      </c>
      <c r="AH49" s="373">
        <f t="shared" si="50"/>
        <v>6171.0651450400001</v>
      </c>
      <c r="AI49" s="373">
        <f t="shared" si="51"/>
        <v>68271.324800000002</v>
      </c>
      <c r="AJ49" s="376">
        <f t="shared" si="80"/>
        <v>2304.1572120000001</v>
      </c>
      <c r="AK49" s="373">
        <f t="shared" si="52"/>
        <v>6171.0651450400001</v>
      </c>
      <c r="AL49" s="373">
        <f t="shared" si="53"/>
        <v>76805.24040000001</v>
      </c>
      <c r="AM49" s="376">
        <f t="shared" si="81"/>
        <v>2304.1572120000001</v>
      </c>
      <c r="AN49" s="373">
        <f t="shared" si="54"/>
        <v>6171.0651450400001</v>
      </c>
      <c r="AO49" s="373">
        <f t="shared" si="55"/>
        <v>85339.156000000003</v>
      </c>
      <c r="AP49" s="376">
        <f>H49*0.27</f>
        <v>2304.1572120000001</v>
      </c>
      <c r="AQ49" s="373">
        <f t="shared" si="70"/>
        <v>7107.3818208400007</v>
      </c>
      <c r="AR49" s="373">
        <f t="shared" si="57"/>
        <v>93873.071599999996</v>
      </c>
      <c r="AS49" s="377">
        <f>(AR49-88000)*0.35+(88000-AO49)*0.27</f>
        <v>2774.0029399999976</v>
      </c>
      <c r="AT49" s="373">
        <f t="shared" si="59"/>
        <v>5701.2194170400026</v>
      </c>
      <c r="AU49" s="373">
        <f t="shared" si="60"/>
        <v>102406.9872</v>
      </c>
      <c r="AV49" s="377">
        <f>H49*0.35</f>
        <v>2986.8704600000001</v>
      </c>
      <c r="AW49" s="373">
        <f t="shared" si="62"/>
        <v>5488.35189704</v>
      </c>
      <c r="AX49" s="292"/>
    </row>
    <row r="50" spans="1:50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34"/>
        <v>10991.243999999999</v>
      </c>
      <c r="G50" s="233">
        <v>359</v>
      </c>
      <c r="H50" s="353">
        <f t="shared" si="63"/>
        <v>8533.9156000000003</v>
      </c>
      <c r="I50" s="363">
        <v>0.65</v>
      </c>
      <c r="J50" s="362">
        <v>5400</v>
      </c>
      <c r="K50" s="361">
        <f t="shared" si="12"/>
        <v>6496.5915346900028</v>
      </c>
      <c r="L50" s="390">
        <f t="shared" si="64"/>
        <v>6911.2675900957483</v>
      </c>
      <c r="M50" s="372">
        <f t="shared" si="13"/>
        <v>58.693242959999999</v>
      </c>
      <c r="N50" s="373">
        <f t="shared" si="14"/>
        <v>8533.9156000000003</v>
      </c>
      <c r="O50" s="378">
        <f t="shared" si="78"/>
        <v>1280.08734</v>
      </c>
      <c r="P50" s="373">
        <f t="shared" si="36"/>
        <v>7195.1350170400001</v>
      </c>
      <c r="Q50" s="373">
        <f t="shared" si="15"/>
        <v>17067.831200000001</v>
      </c>
      <c r="R50" s="374">
        <f t="shared" si="79"/>
        <v>1633.4789000000001</v>
      </c>
      <c r="S50" s="373">
        <f t="shared" si="37"/>
        <v>6841.7434570400001</v>
      </c>
      <c r="T50" s="373">
        <f t="shared" si="38"/>
        <v>25601.746800000001</v>
      </c>
      <c r="U50" s="374">
        <f>H50*0.2</f>
        <v>1706.7831200000001</v>
      </c>
      <c r="V50" s="373">
        <f t="shared" si="40"/>
        <v>6768.4392370400001</v>
      </c>
      <c r="W50" s="373">
        <f t="shared" si="41"/>
        <v>34135.662400000001</v>
      </c>
      <c r="X50" s="376">
        <f>(W50-25000)*0.27+(25000-T50)*0.2</f>
        <v>2346.2794880000001</v>
      </c>
      <c r="Y50" s="373">
        <f t="shared" si="43"/>
        <v>6128.94286904</v>
      </c>
      <c r="Z50" s="373">
        <f t="shared" si="44"/>
        <v>42669.578000000001</v>
      </c>
      <c r="AA50" s="376">
        <f t="shared" si="45"/>
        <v>2304.1572120000001</v>
      </c>
      <c r="AB50" s="373">
        <f t="shared" si="46"/>
        <v>6171.0651450400001</v>
      </c>
      <c r="AC50" s="373">
        <f t="shared" si="47"/>
        <v>51203.493600000002</v>
      </c>
      <c r="AD50" s="376">
        <f t="shared" si="76"/>
        <v>2304.1572120000001</v>
      </c>
      <c r="AE50" s="373">
        <f t="shared" si="48"/>
        <v>6171.0651450400001</v>
      </c>
      <c r="AF50" s="373">
        <f t="shared" si="49"/>
        <v>59737.409200000002</v>
      </c>
      <c r="AG50" s="376">
        <f t="shared" si="77"/>
        <v>2304.1572120000001</v>
      </c>
      <c r="AH50" s="373">
        <f t="shared" si="50"/>
        <v>6171.0651450400001</v>
      </c>
      <c r="AI50" s="373">
        <f t="shared" si="51"/>
        <v>68271.324800000002</v>
      </c>
      <c r="AJ50" s="376">
        <f t="shared" si="80"/>
        <v>2304.1572120000001</v>
      </c>
      <c r="AK50" s="373">
        <f t="shared" si="52"/>
        <v>6171.0651450400001</v>
      </c>
      <c r="AL50" s="373">
        <f t="shared" si="53"/>
        <v>76805.24040000001</v>
      </c>
      <c r="AM50" s="376">
        <f t="shared" si="81"/>
        <v>2304.1572120000001</v>
      </c>
      <c r="AN50" s="373">
        <f t="shared" si="54"/>
        <v>6171.0651450400001</v>
      </c>
      <c r="AO50" s="373">
        <f t="shared" si="55"/>
        <v>85339.156000000003</v>
      </c>
      <c r="AP50" s="376">
        <f>H50*0.27</f>
        <v>2304.1572120000001</v>
      </c>
      <c r="AQ50" s="373">
        <f t="shared" si="70"/>
        <v>7107.3818208400007</v>
      </c>
      <c r="AR50" s="373">
        <f t="shared" si="57"/>
        <v>93873.071599999996</v>
      </c>
      <c r="AS50" s="376">
        <f>H50*0.27</f>
        <v>2304.1572120000001</v>
      </c>
      <c r="AT50" s="373">
        <f t="shared" si="59"/>
        <v>6171.0651450400001</v>
      </c>
      <c r="AU50" s="373">
        <f t="shared" si="60"/>
        <v>102406.9872</v>
      </c>
      <c r="AV50" s="376">
        <f t="shared" ref="AV50:AV54" si="82">H50*0.27</f>
        <v>2304.1572120000001</v>
      </c>
      <c r="AW50" s="373">
        <f t="shared" si="62"/>
        <v>6171.0651450400001</v>
      </c>
      <c r="AX50" s="292"/>
    </row>
    <row r="51" spans="1:50" ht="28.5" x14ac:dyDescent="0.45">
      <c r="A51" s="718"/>
      <c r="B51" s="394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34"/>
        <v>10991.243999999999</v>
      </c>
      <c r="G51" s="233">
        <v>359</v>
      </c>
      <c r="H51" s="353">
        <f t="shared" si="63"/>
        <v>8533.9156000000003</v>
      </c>
      <c r="I51" s="363">
        <v>0.65</v>
      </c>
      <c r="J51" s="362">
        <v>3900</v>
      </c>
      <c r="K51" s="361">
        <f t="shared" si="12"/>
        <v>6496.5915346900028</v>
      </c>
      <c r="L51" s="390">
        <f t="shared" si="64"/>
        <v>6911.2675900957483</v>
      </c>
      <c r="M51" s="372">
        <f t="shared" si="13"/>
        <v>58.693242959999999</v>
      </c>
      <c r="N51" s="373">
        <f t="shared" si="14"/>
        <v>8533.9156000000003</v>
      </c>
      <c r="O51" s="378">
        <f t="shared" si="78"/>
        <v>1280.08734</v>
      </c>
      <c r="P51" s="373">
        <f t="shared" si="36"/>
        <v>7195.1350170400001</v>
      </c>
      <c r="Q51" s="373">
        <f t="shared" si="15"/>
        <v>17067.831200000001</v>
      </c>
      <c r="R51" s="374">
        <f t="shared" si="79"/>
        <v>1633.4789000000001</v>
      </c>
      <c r="S51" s="373">
        <f t="shared" si="37"/>
        <v>6841.7434570400001</v>
      </c>
      <c r="T51" s="373">
        <f t="shared" si="38"/>
        <v>25601.746800000001</v>
      </c>
      <c r="U51" s="374">
        <f>H51*0.2</f>
        <v>1706.7831200000001</v>
      </c>
      <c r="V51" s="373">
        <f t="shared" si="40"/>
        <v>6768.4392370400001</v>
      </c>
      <c r="W51" s="373">
        <f t="shared" si="41"/>
        <v>34135.662400000001</v>
      </c>
      <c r="X51" s="374">
        <f>H51*0.2</f>
        <v>1706.7831200000001</v>
      </c>
      <c r="Y51" s="373">
        <f t="shared" si="43"/>
        <v>6768.4392370400001</v>
      </c>
      <c r="Z51" s="373">
        <f t="shared" si="44"/>
        <v>42669.578000000001</v>
      </c>
      <c r="AA51" s="376">
        <f>(Z51-25000)*0.27+(25000-W51)*0.2</f>
        <v>2943.6535800000001</v>
      </c>
      <c r="AB51" s="373">
        <f t="shared" si="46"/>
        <v>5531.56877704</v>
      </c>
      <c r="AC51" s="373">
        <f t="shared" si="47"/>
        <v>51203.493600000002</v>
      </c>
      <c r="AD51" s="376">
        <f t="shared" si="76"/>
        <v>2304.1572120000001</v>
      </c>
      <c r="AE51" s="373">
        <f t="shared" si="48"/>
        <v>6171.0651450400001</v>
      </c>
      <c r="AF51" s="373">
        <f t="shared" si="49"/>
        <v>59737.409200000002</v>
      </c>
      <c r="AG51" s="376">
        <f t="shared" si="77"/>
        <v>2304.1572120000001</v>
      </c>
      <c r="AH51" s="373">
        <f t="shared" si="50"/>
        <v>6171.0651450400001</v>
      </c>
      <c r="AI51" s="373">
        <f t="shared" si="51"/>
        <v>68271.324800000002</v>
      </c>
      <c r="AJ51" s="376">
        <f t="shared" si="80"/>
        <v>2304.1572120000001</v>
      </c>
      <c r="AK51" s="373">
        <f t="shared" si="52"/>
        <v>6171.0651450400001</v>
      </c>
      <c r="AL51" s="373">
        <f t="shared" si="53"/>
        <v>76805.24040000001</v>
      </c>
      <c r="AM51" s="376">
        <f t="shared" si="81"/>
        <v>2304.1572120000001</v>
      </c>
      <c r="AN51" s="373">
        <f t="shared" si="54"/>
        <v>6171.0651450400001</v>
      </c>
      <c r="AO51" s="373">
        <f t="shared" si="55"/>
        <v>85339.156000000003</v>
      </c>
      <c r="AP51" s="376">
        <f>H51*0.27</f>
        <v>2304.1572120000001</v>
      </c>
      <c r="AQ51" s="373">
        <f t="shared" si="70"/>
        <v>7107.3818208400007</v>
      </c>
      <c r="AR51" s="373">
        <f t="shared" si="57"/>
        <v>93873.071599999996</v>
      </c>
      <c r="AS51" s="376">
        <f>H51*0.27</f>
        <v>2304.1572120000001</v>
      </c>
      <c r="AT51" s="373">
        <f t="shared" si="59"/>
        <v>6171.0651450400001</v>
      </c>
      <c r="AU51" s="373">
        <f t="shared" si="60"/>
        <v>102406.9872</v>
      </c>
      <c r="AV51" s="376">
        <f t="shared" si="82"/>
        <v>2304.1572120000001</v>
      </c>
      <c r="AW51" s="373">
        <f t="shared" si="62"/>
        <v>6171.0651450400001</v>
      </c>
      <c r="AX51" s="292"/>
    </row>
    <row r="52" spans="1:50" ht="42" x14ac:dyDescent="0.45">
      <c r="A52" s="719"/>
      <c r="B52" s="392" t="s">
        <v>199</v>
      </c>
      <c r="C52" s="290">
        <v>125</v>
      </c>
      <c r="D52" s="238">
        <v>3331</v>
      </c>
      <c r="E52" s="238">
        <v>4163</v>
      </c>
      <c r="F52" s="238">
        <f t="shared" si="34"/>
        <v>7494</v>
      </c>
      <c r="G52" s="233">
        <v>359</v>
      </c>
      <c r="H52" s="353">
        <f t="shared" si="63"/>
        <v>5053.5</v>
      </c>
      <c r="I52" s="391">
        <v>0.5</v>
      </c>
      <c r="J52" s="362">
        <v>3800</v>
      </c>
      <c r="K52" s="361">
        <f t="shared" si="12"/>
        <v>3900.5495386499992</v>
      </c>
      <c r="L52" s="390">
        <f t="shared" si="64"/>
        <v>4149.5207857978721</v>
      </c>
      <c r="M52" s="372">
        <f t="shared" si="13"/>
        <v>35.722499999999997</v>
      </c>
      <c r="N52" s="373">
        <f t="shared" si="14"/>
        <v>5053.5</v>
      </c>
      <c r="O52" s="378">
        <f t="shared" si="78"/>
        <v>758.02499999999998</v>
      </c>
      <c r="P52" s="373">
        <f t="shared" si="36"/>
        <v>4259.7525000000005</v>
      </c>
      <c r="Q52" s="373">
        <f t="shared" si="15"/>
        <v>10107</v>
      </c>
      <c r="R52" s="378">
        <f>H52*0.15</f>
        <v>758.02499999999998</v>
      </c>
      <c r="S52" s="373">
        <f t="shared" si="37"/>
        <v>4259.7525000000005</v>
      </c>
      <c r="T52" s="373">
        <f t="shared" si="38"/>
        <v>15160.5</v>
      </c>
      <c r="U52" s="374">
        <f>(T52-10000)*0.2+(10000-Q52)*0.15</f>
        <v>1016.0500000000002</v>
      </c>
      <c r="V52" s="373">
        <f t="shared" si="40"/>
        <v>4001.7275</v>
      </c>
      <c r="W52" s="373">
        <f t="shared" si="41"/>
        <v>20214</v>
      </c>
      <c r="X52" s="374">
        <f>H52*0.2</f>
        <v>1010.7</v>
      </c>
      <c r="Y52" s="373">
        <f t="shared" si="43"/>
        <v>4007.0775000000003</v>
      </c>
      <c r="Z52" s="373">
        <f t="shared" si="44"/>
        <v>25267.5</v>
      </c>
      <c r="AA52" s="374">
        <f>H52*0.2</f>
        <v>1010.7</v>
      </c>
      <c r="AB52" s="373">
        <f t="shared" si="46"/>
        <v>4007.0775000000003</v>
      </c>
      <c r="AC52" s="373">
        <f t="shared" si="47"/>
        <v>30321</v>
      </c>
      <c r="AD52" s="376">
        <f>(AC52-25000)*0.27+(25000-Z52)*0.2</f>
        <v>1383.17</v>
      </c>
      <c r="AE52" s="373">
        <f t="shared" si="48"/>
        <v>3634.6075000000001</v>
      </c>
      <c r="AF52" s="373">
        <f t="shared" si="49"/>
        <v>35374.5</v>
      </c>
      <c r="AG52" s="376">
        <f t="shared" si="77"/>
        <v>1364.4450000000002</v>
      </c>
      <c r="AH52" s="373">
        <f t="shared" si="50"/>
        <v>3653.3325</v>
      </c>
      <c r="AI52" s="373">
        <f t="shared" si="51"/>
        <v>40428</v>
      </c>
      <c r="AJ52" s="376">
        <f t="shared" si="80"/>
        <v>1364.4450000000002</v>
      </c>
      <c r="AK52" s="373">
        <f t="shared" si="52"/>
        <v>3653.3325</v>
      </c>
      <c r="AL52" s="373">
        <f t="shared" si="53"/>
        <v>45481.5</v>
      </c>
      <c r="AM52" s="376">
        <f t="shared" si="81"/>
        <v>1364.4450000000002</v>
      </c>
      <c r="AN52" s="373">
        <f t="shared" si="54"/>
        <v>3653.3325</v>
      </c>
      <c r="AO52" s="373">
        <f t="shared" si="55"/>
        <v>50535</v>
      </c>
      <c r="AP52" s="376">
        <f>H52*0.27</f>
        <v>1364.4450000000002</v>
      </c>
      <c r="AQ52" s="373">
        <f t="shared" si="70"/>
        <v>3649.9369638000003</v>
      </c>
      <c r="AR52" s="373">
        <f t="shared" si="57"/>
        <v>55588.5</v>
      </c>
      <c r="AS52" s="376">
        <f>H52*0.27</f>
        <v>1364.4450000000002</v>
      </c>
      <c r="AT52" s="373">
        <f t="shared" si="59"/>
        <v>3653.3325</v>
      </c>
      <c r="AU52" s="373">
        <f t="shared" si="60"/>
        <v>60642</v>
      </c>
      <c r="AV52" s="376">
        <f t="shared" si="82"/>
        <v>1364.4450000000002</v>
      </c>
      <c r="AW52" s="373">
        <f t="shared" si="62"/>
        <v>3653.3325</v>
      </c>
      <c r="AX52" s="292"/>
    </row>
    <row r="53" spans="1:50" ht="63" customHeight="1" x14ac:dyDescent="0.45">
      <c r="A53" s="752" t="s">
        <v>173</v>
      </c>
      <c r="B53" s="753"/>
      <c r="C53" s="241">
        <v>125</v>
      </c>
      <c r="D53" s="234">
        <v>3330.68</v>
      </c>
      <c r="E53" s="234">
        <v>4163.3499999999995</v>
      </c>
      <c r="F53" s="234">
        <f t="shared" si="34"/>
        <v>7494.0299999999988</v>
      </c>
      <c r="G53" s="233">
        <v>278</v>
      </c>
      <c r="H53" s="353">
        <f t="shared" si="63"/>
        <v>3843.7164999999995</v>
      </c>
      <c r="I53" s="391">
        <v>0.19</v>
      </c>
      <c r="J53" s="362">
        <v>3023</v>
      </c>
      <c r="K53" s="361">
        <f t="shared" si="12"/>
        <v>2998.7066259999992</v>
      </c>
      <c r="L53" s="390">
        <f t="shared" si="64"/>
        <v>3190.1134319148928</v>
      </c>
      <c r="M53" s="372">
        <f t="shared" si="13"/>
        <v>27.203328899999995</v>
      </c>
      <c r="N53" s="373">
        <f t="shared" si="14"/>
        <v>3843.7164999999995</v>
      </c>
      <c r="O53" s="378">
        <f t="shared" si="78"/>
        <v>576.55747499999995</v>
      </c>
      <c r="P53" s="373">
        <f t="shared" si="36"/>
        <v>3239.9556960999994</v>
      </c>
      <c r="Q53" s="373">
        <f t="shared" si="15"/>
        <v>7687.4329999999991</v>
      </c>
      <c r="R53" s="378">
        <f>H53*0.15</f>
        <v>576.55747499999995</v>
      </c>
      <c r="S53" s="373">
        <f t="shared" si="37"/>
        <v>3239.9556960999994</v>
      </c>
      <c r="T53" s="373">
        <f t="shared" si="38"/>
        <v>11531.1495</v>
      </c>
      <c r="U53" s="374">
        <f>(T53-10000)*0.2+(10000-Q53)*0.15</f>
        <v>653.11495000000014</v>
      </c>
      <c r="V53" s="373">
        <f t="shared" si="40"/>
        <v>3163.3982210999993</v>
      </c>
      <c r="W53" s="373">
        <f t="shared" si="41"/>
        <v>15374.865999999998</v>
      </c>
      <c r="X53" s="374">
        <f t="shared" ref="X53:X54" si="83">H53*0.2</f>
        <v>768.74329999999998</v>
      </c>
      <c r="Y53" s="373">
        <f t="shared" si="43"/>
        <v>3047.7698710999994</v>
      </c>
      <c r="Z53" s="373">
        <f t="shared" si="44"/>
        <v>19218.582499999997</v>
      </c>
      <c r="AA53" s="374">
        <f>H53*0.2</f>
        <v>768.74329999999998</v>
      </c>
      <c r="AB53" s="373">
        <f t="shared" si="46"/>
        <v>3047.7698710999994</v>
      </c>
      <c r="AC53" s="373">
        <f t="shared" si="47"/>
        <v>23062.298999999999</v>
      </c>
      <c r="AD53" s="374">
        <f>H53*0.2</f>
        <v>768.74329999999998</v>
      </c>
      <c r="AE53" s="373">
        <f t="shared" si="48"/>
        <v>3047.7698710999994</v>
      </c>
      <c r="AF53" s="373">
        <f t="shared" si="49"/>
        <v>26906.015499999998</v>
      </c>
      <c r="AG53" s="376">
        <f>(AF53-25000)*0.27+(25000-AC53)*0.2</f>
        <v>902.16438499999958</v>
      </c>
      <c r="AH53" s="373">
        <f t="shared" si="50"/>
        <v>2914.3487860999999</v>
      </c>
      <c r="AI53" s="373">
        <f t="shared" si="51"/>
        <v>30749.731999999996</v>
      </c>
      <c r="AJ53" s="376">
        <f t="shared" si="80"/>
        <v>1037.803455</v>
      </c>
      <c r="AK53" s="373">
        <f t="shared" si="52"/>
        <v>2778.7097160999992</v>
      </c>
      <c r="AL53" s="373">
        <f t="shared" si="53"/>
        <v>34593.448499999999</v>
      </c>
      <c r="AM53" s="376">
        <f t="shared" si="81"/>
        <v>1037.803455</v>
      </c>
      <c r="AN53" s="373">
        <f t="shared" si="54"/>
        <v>2778.7097160999992</v>
      </c>
      <c r="AO53" s="373">
        <f t="shared" si="55"/>
        <v>38437.164999999994</v>
      </c>
      <c r="AP53" s="376">
        <f t="shared" ref="AP53:AP54" si="84">H53*0.27</f>
        <v>1037.803455</v>
      </c>
      <c r="AQ53" s="373">
        <f t="shared" si="70"/>
        <v>2448.6726348999996</v>
      </c>
      <c r="AR53" s="373">
        <f t="shared" si="57"/>
        <v>42280.881499999996</v>
      </c>
      <c r="AS53" s="376">
        <f t="shared" ref="AS53:AS54" si="85">H53*0.27</f>
        <v>1037.803455</v>
      </c>
      <c r="AT53" s="373">
        <f t="shared" si="59"/>
        <v>2778.7097160999992</v>
      </c>
      <c r="AU53" s="373">
        <f t="shared" si="60"/>
        <v>46124.597999999998</v>
      </c>
      <c r="AV53" s="376">
        <f t="shared" si="82"/>
        <v>1037.803455</v>
      </c>
      <c r="AW53" s="373">
        <f t="shared" si="62"/>
        <v>2778.7097160999992</v>
      </c>
      <c r="AX53" s="292"/>
    </row>
    <row r="54" spans="1:50" ht="29.25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34"/>
        <v>4996.01</v>
      </c>
      <c r="G54" s="233">
        <v>278</v>
      </c>
      <c r="H54" s="353">
        <f t="shared" si="63"/>
        <v>3793.75</v>
      </c>
      <c r="I54" s="363">
        <v>0.63</v>
      </c>
      <c r="J54" s="362">
        <v>2822</v>
      </c>
      <c r="K54" s="361">
        <f t="shared" si="12"/>
        <v>2961.4366136499998</v>
      </c>
      <c r="L54" s="390">
        <f t="shared" si="64"/>
        <v>3150.4644826063827</v>
      </c>
      <c r="M54" s="372">
        <f t="shared" si="13"/>
        <v>26.873550000000002</v>
      </c>
      <c r="N54" s="373">
        <f t="shared" si="14"/>
        <v>3793.75</v>
      </c>
      <c r="O54" s="378">
        <f t="shared" si="78"/>
        <v>569.0625</v>
      </c>
      <c r="P54" s="373">
        <f t="shared" si="36"/>
        <v>3197.8139500000002</v>
      </c>
      <c r="Q54" s="373">
        <f t="shared" si="15"/>
        <v>7587.5</v>
      </c>
      <c r="R54" s="378">
        <f>H54*0.15</f>
        <v>569.0625</v>
      </c>
      <c r="S54" s="373">
        <f t="shared" si="37"/>
        <v>3197.8139500000002</v>
      </c>
      <c r="T54" s="373">
        <f t="shared" si="38"/>
        <v>11381.25</v>
      </c>
      <c r="U54" s="374">
        <f>(T54-10000)*0.2+(10000-Q54)*0.15</f>
        <v>638.125</v>
      </c>
      <c r="V54" s="373">
        <f t="shared" si="40"/>
        <v>3128.7514500000002</v>
      </c>
      <c r="W54" s="373">
        <f t="shared" si="41"/>
        <v>15175</v>
      </c>
      <c r="X54" s="374">
        <f t="shared" si="83"/>
        <v>758.75</v>
      </c>
      <c r="Y54" s="373">
        <f t="shared" si="43"/>
        <v>3008.1264500000002</v>
      </c>
      <c r="Z54" s="373">
        <f t="shared" si="44"/>
        <v>18968.75</v>
      </c>
      <c r="AA54" s="374">
        <f>H54*0.2</f>
        <v>758.75</v>
      </c>
      <c r="AB54" s="373">
        <f t="shared" si="46"/>
        <v>3008.1264500000002</v>
      </c>
      <c r="AC54" s="373">
        <f t="shared" si="47"/>
        <v>22762.5</v>
      </c>
      <c r="AD54" s="374">
        <f>H54*0.2</f>
        <v>758.75</v>
      </c>
      <c r="AE54" s="373">
        <f t="shared" si="48"/>
        <v>3008.1264500000002</v>
      </c>
      <c r="AF54" s="373">
        <f t="shared" si="49"/>
        <v>26556.25</v>
      </c>
      <c r="AG54" s="376">
        <f>(AF54-25000)*0.27+(25000-AC54)*0.2</f>
        <v>867.6875</v>
      </c>
      <c r="AH54" s="373">
        <f t="shared" si="50"/>
        <v>2899.1889500000002</v>
      </c>
      <c r="AI54" s="373">
        <f t="shared" si="51"/>
        <v>30350</v>
      </c>
      <c r="AJ54" s="376">
        <f t="shared" si="80"/>
        <v>1024.3125</v>
      </c>
      <c r="AK54" s="373">
        <f t="shared" si="52"/>
        <v>2742.5639500000002</v>
      </c>
      <c r="AL54" s="373">
        <f t="shared" si="53"/>
        <v>34143.75</v>
      </c>
      <c r="AM54" s="376">
        <f t="shared" si="81"/>
        <v>1024.3125</v>
      </c>
      <c r="AN54" s="373">
        <f t="shared" si="54"/>
        <v>2742.5639500000002</v>
      </c>
      <c r="AO54" s="373">
        <f t="shared" si="55"/>
        <v>37937.5</v>
      </c>
      <c r="AP54" s="376">
        <f t="shared" si="84"/>
        <v>1024.3125</v>
      </c>
      <c r="AQ54" s="373">
        <f t="shared" si="70"/>
        <v>2399.0359138000003</v>
      </c>
      <c r="AR54" s="373">
        <f t="shared" si="57"/>
        <v>41731.25</v>
      </c>
      <c r="AS54" s="376">
        <f t="shared" si="85"/>
        <v>1024.3125</v>
      </c>
      <c r="AT54" s="373">
        <f t="shared" si="59"/>
        <v>2742.5639500000002</v>
      </c>
      <c r="AU54" s="373">
        <f t="shared" si="60"/>
        <v>45525</v>
      </c>
      <c r="AV54" s="376">
        <f t="shared" si="82"/>
        <v>1024.3125</v>
      </c>
      <c r="AW54" s="373">
        <f t="shared" si="62"/>
        <v>2742.5639500000002</v>
      </c>
      <c r="AX54" s="292"/>
    </row>
    <row r="55" spans="1:50" x14ac:dyDescent="0.35">
      <c r="AM55" s="379"/>
    </row>
  </sheetData>
  <mergeCells count="11">
    <mergeCell ref="A28:B28"/>
    <mergeCell ref="A1:F1"/>
    <mergeCell ref="A4:B4"/>
    <mergeCell ref="A6:A14"/>
    <mergeCell ref="A15:A23"/>
    <mergeCell ref="A24:A27"/>
    <mergeCell ref="A30:A38"/>
    <mergeCell ref="A39:A46"/>
    <mergeCell ref="A47:A52"/>
    <mergeCell ref="A53:B53"/>
    <mergeCell ref="A54:B5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topLeftCell="C22" zoomScale="70" zoomScaleNormal="70" workbookViewId="0">
      <selection activeCell="H30" sqref="H30"/>
    </sheetView>
  </sheetViews>
  <sheetFormatPr defaultRowHeight="21" x14ac:dyDescent="0.35"/>
  <cols>
    <col min="1" max="1" width="6.7109375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3.5703125" customWidth="1"/>
    <col min="10" max="10" width="24.42578125" customWidth="1"/>
    <col min="11" max="11" width="22.85546875" customWidth="1"/>
    <col min="12" max="12" width="26" customWidth="1"/>
    <col min="13" max="13" width="13.28515625" style="130" customWidth="1"/>
    <col min="14" max="14" width="16.140625" style="130" bestFit="1" customWidth="1"/>
    <col min="15" max="15" width="14.140625" style="130" bestFit="1" customWidth="1"/>
    <col min="16" max="17" width="16.140625" style="130" bestFit="1" customWidth="1"/>
    <col min="18" max="18" width="14.140625" style="130" bestFit="1" customWidth="1"/>
    <col min="19" max="20" width="16.140625" style="130" bestFit="1" customWidth="1"/>
    <col min="21" max="21" width="14.140625" style="130" bestFit="1" customWidth="1"/>
    <col min="22" max="23" width="16.140625" style="130" bestFit="1" customWidth="1"/>
    <col min="24" max="24" width="14.140625" style="130" bestFit="1" customWidth="1"/>
    <col min="25" max="26" width="16.140625" style="130" bestFit="1" customWidth="1"/>
    <col min="27" max="27" width="14.140625" style="130" bestFit="1" customWidth="1"/>
    <col min="28" max="28" width="16.140625" style="130" bestFit="1" customWidth="1"/>
    <col min="29" max="29" width="17.7109375" style="130" bestFit="1" customWidth="1"/>
    <col min="30" max="30" width="14.140625" style="130" bestFit="1" customWidth="1"/>
    <col min="31" max="31" width="16.140625" style="130" bestFit="1" customWidth="1"/>
    <col min="32" max="32" width="17.7109375" style="130" bestFit="1" customWidth="1"/>
    <col min="33" max="33" width="14.140625" style="130" bestFit="1" customWidth="1"/>
    <col min="34" max="34" width="16.140625" style="130" bestFit="1" customWidth="1"/>
    <col min="35" max="35" width="17.7109375" style="130" bestFit="1" customWidth="1"/>
    <col min="36" max="36" width="18.7109375" style="130" customWidth="1"/>
    <col min="37" max="37" width="16.140625" style="130" bestFit="1" customWidth="1"/>
    <col min="38" max="38" width="17.7109375" style="130" bestFit="1" customWidth="1"/>
    <col min="39" max="39" width="14.140625" style="130" bestFit="1" customWidth="1"/>
    <col min="40" max="40" width="16.140625" style="130" bestFit="1" customWidth="1"/>
    <col min="41" max="41" width="17.7109375" style="130" bestFit="1" customWidth="1"/>
    <col min="42" max="42" width="14.140625" style="130" bestFit="1" customWidth="1"/>
    <col min="43" max="43" width="16.140625" style="130" bestFit="1" customWidth="1"/>
    <col min="44" max="44" width="17.7109375" style="130" bestFit="1" customWidth="1"/>
    <col min="45" max="45" width="14.140625" style="130" bestFit="1" customWidth="1"/>
    <col min="46" max="46" width="16.140625" style="130" bestFit="1" customWidth="1"/>
    <col min="47" max="47" width="17.7109375" style="130" bestFit="1" customWidth="1"/>
    <col min="48" max="48" width="14.140625" style="130" bestFit="1" customWidth="1"/>
    <col min="49" max="49" width="16.140625" style="130" bestFit="1" customWidth="1"/>
  </cols>
  <sheetData>
    <row r="1" spans="1:50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0" ht="24" hidden="1" thickBot="1" x14ac:dyDescent="0.4">
      <c r="A2" s="192"/>
      <c r="B2" s="2"/>
      <c r="C2" s="2"/>
      <c r="D2" s="2"/>
      <c r="E2" s="2"/>
      <c r="F2" s="2"/>
      <c r="K2" s="385"/>
      <c r="L2" s="385"/>
    </row>
    <row r="3" spans="1:50" ht="27" hidden="1" thickBot="1" x14ac:dyDescent="0.4">
      <c r="A3" s="236" t="s">
        <v>1</v>
      </c>
      <c r="B3" s="4"/>
      <c r="C3" s="4"/>
      <c r="D3" s="4"/>
      <c r="E3" s="4"/>
      <c r="F3" s="4"/>
    </row>
    <row r="4" spans="1:50" ht="65.25" customHeight="1" x14ac:dyDescent="0.25">
      <c r="A4" s="726" t="s">
        <v>2</v>
      </c>
      <c r="B4" s="726"/>
      <c r="C4" s="459" t="s">
        <v>3</v>
      </c>
      <c r="D4" s="459" t="s">
        <v>229</v>
      </c>
      <c r="E4" s="459" t="s">
        <v>253</v>
      </c>
      <c r="F4" s="459" t="s">
        <v>231</v>
      </c>
      <c r="G4" s="395" t="s">
        <v>244</v>
      </c>
      <c r="H4" s="395" t="s">
        <v>249</v>
      </c>
      <c r="I4" s="352" t="s">
        <v>37</v>
      </c>
      <c r="J4" s="364" t="s">
        <v>279</v>
      </c>
      <c r="K4" s="364" t="s">
        <v>280</v>
      </c>
      <c r="L4" s="389" t="s">
        <v>283</v>
      </c>
      <c r="M4" s="365" t="s">
        <v>245</v>
      </c>
      <c r="N4" s="365">
        <v>1</v>
      </c>
      <c r="O4" s="365" t="s">
        <v>255</v>
      </c>
      <c r="P4" s="365" t="s">
        <v>267</v>
      </c>
      <c r="Q4" s="365">
        <v>2</v>
      </c>
      <c r="R4" s="365" t="s">
        <v>256</v>
      </c>
      <c r="S4" s="365" t="s">
        <v>268</v>
      </c>
      <c r="T4" s="365">
        <v>3</v>
      </c>
      <c r="U4" s="365" t="s">
        <v>257</v>
      </c>
      <c r="V4" s="365" t="s">
        <v>278</v>
      </c>
      <c r="W4" s="365">
        <v>4</v>
      </c>
      <c r="X4" s="365" t="s">
        <v>258</v>
      </c>
      <c r="Y4" s="365" t="s">
        <v>277</v>
      </c>
      <c r="Z4" s="365">
        <v>5</v>
      </c>
      <c r="AA4" s="365" t="s">
        <v>259</v>
      </c>
      <c r="AB4" s="365" t="s">
        <v>276</v>
      </c>
      <c r="AC4" s="365">
        <v>6</v>
      </c>
      <c r="AD4" s="365" t="s">
        <v>260</v>
      </c>
      <c r="AE4" s="365" t="s">
        <v>275</v>
      </c>
      <c r="AF4" s="365">
        <v>7</v>
      </c>
      <c r="AG4" s="365" t="s">
        <v>261</v>
      </c>
      <c r="AH4" s="365" t="s">
        <v>274</v>
      </c>
      <c r="AI4" s="365">
        <v>8</v>
      </c>
      <c r="AJ4" s="365" t="s">
        <v>262</v>
      </c>
      <c r="AK4" s="365" t="s">
        <v>273</v>
      </c>
      <c r="AL4" s="365">
        <v>9</v>
      </c>
      <c r="AM4" s="365" t="s">
        <v>263</v>
      </c>
      <c r="AN4" s="365" t="s">
        <v>272</v>
      </c>
      <c r="AO4" s="365">
        <v>10</v>
      </c>
      <c r="AP4" s="365" t="s">
        <v>264</v>
      </c>
      <c r="AQ4" s="365" t="s">
        <v>271</v>
      </c>
      <c r="AR4" s="365">
        <v>11</v>
      </c>
      <c r="AS4" s="365" t="s">
        <v>265</v>
      </c>
      <c r="AT4" s="365" t="s">
        <v>270</v>
      </c>
      <c r="AU4" s="365">
        <v>12</v>
      </c>
      <c r="AV4" s="366" t="s">
        <v>266</v>
      </c>
      <c r="AW4" s="366" t="s">
        <v>269</v>
      </c>
    </row>
    <row r="5" spans="1:50" s="233" customFormat="1" ht="33.75" customHeight="1" x14ac:dyDescent="0.45">
      <c r="A5" s="229"/>
      <c r="B5" s="346"/>
      <c r="C5" s="231"/>
      <c r="D5" s="231"/>
      <c r="E5" s="231"/>
      <c r="F5" s="231"/>
      <c r="H5" s="357">
        <v>0.93</v>
      </c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1"/>
    </row>
    <row r="6" spans="1:50" s="233" customFormat="1" ht="30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18227.499739999999</v>
      </c>
      <c r="I6" s="463">
        <v>0.7</v>
      </c>
      <c r="J6" s="362">
        <v>12600</v>
      </c>
      <c r="K6" s="361">
        <f>((P6+S6+V6+Y6+AB6+AE6+AH6+AK6+AN6+AQ6+AT6+AW6)/12)+60</f>
        <v>12559.370599382668</v>
      </c>
      <c r="L6" s="390">
        <f t="shared" ref="L6:L28" si="0">K6/0.93</f>
        <v>13504.699569228675</v>
      </c>
      <c r="M6" s="372">
        <f>(H6+G6)*0.0066</f>
        <v>122.67089828399999</v>
      </c>
      <c r="N6" s="373">
        <f>$H6*N$4</f>
        <v>18227.499739999999</v>
      </c>
      <c r="O6" s="374">
        <f>(N6-10000)*0.2+10000*0.15</f>
        <v>3145.4999479999997</v>
      </c>
      <c r="P6" s="373">
        <f>H6-M6-O6</f>
        <v>14959.328893716</v>
      </c>
      <c r="Q6" s="373">
        <f>$H6*2</f>
        <v>36454.999479999999</v>
      </c>
      <c r="R6" s="376">
        <f>(Q6-25000)*0.27+4500-O6</f>
        <v>4447.3499116000003</v>
      </c>
      <c r="S6" s="373">
        <f>H6-M6-R6</f>
        <v>13657.478930116</v>
      </c>
      <c r="T6" s="373">
        <f t="shared" ref="T6:T28" si="1">H6*3</f>
        <v>54682.499219999998</v>
      </c>
      <c r="U6" s="376">
        <f>N6*0.27</f>
        <v>4921.4249298000004</v>
      </c>
      <c r="V6" s="373">
        <f>H6-M6-U6</f>
        <v>13183.403911916001</v>
      </c>
      <c r="W6" s="373">
        <f t="shared" ref="W6:W28" si="2">H6*4</f>
        <v>72909.998959999997</v>
      </c>
      <c r="X6" s="376">
        <f t="shared" ref="X6:X22" si="3">H6*0.27</f>
        <v>4921.4249298000004</v>
      </c>
      <c r="Y6" s="373">
        <f>H6-M6-X6</f>
        <v>13183.403911916001</v>
      </c>
      <c r="Z6" s="373">
        <f t="shared" ref="Z6:Z28" si="4">H6*5</f>
        <v>91137.498699999996</v>
      </c>
      <c r="AA6" s="377">
        <f>(Z6-88000)*0.35+(88000-W6)*0.27</f>
        <v>5172.4248257999998</v>
      </c>
      <c r="AB6" s="373">
        <f>H6-M6-AA6</f>
        <v>12932.404015915999</v>
      </c>
      <c r="AC6" s="373">
        <f t="shared" ref="AC6:AC28" si="5">H6*6</f>
        <v>109364.99844</v>
      </c>
      <c r="AD6" s="377">
        <f>$H$6*0.35</f>
        <v>6379.6249089999992</v>
      </c>
      <c r="AE6" s="373">
        <f>H6-M6-AD6</f>
        <v>11725.203932716002</v>
      </c>
      <c r="AF6" s="373">
        <f t="shared" ref="AF6:AF28" si="6">H6*7</f>
        <v>127592.49818</v>
      </c>
      <c r="AG6" s="377">
        <f>$H$6*0.35</f>
        <v>6379.6249089999992</v>
      </c>
      <c r="AH6" s="373">
        <f>H6-M6-AG6</f>
        <v>11725.203932716002</v>
      </c>
      <c r="AI6" s="373">
        <f t="shared" ref="AI6:AI28" si="7">H6*8</f>
        <v>145819.99791999999</v>
      </c>
      <c r="AJ6" s="377">
        <f>$H$6*0.35</f>
        <v>6379.6249089999992</v>
      </c>
      <c r="AK6" s="373">
        <f>H6-M6-AJ6</f>
        <v>11725.203932716002</v>
      </c>
      <c r="AL6" s="373">
        <f t="shared" ref="AL6:AL28" si="8">H6*9</f>
        <v>164047.49765999999</v>
      </c>
      <c r="AM6" s="377">
        <f>$H$6*0.35</f>
        <v>6379.6249089999992</v>
      </c>
      <c r="AN6" s="373">
        <f>H6-M6-AM6</f>
        <v>11725.203932716002</v>
      </c>
      <c r="AO6" s="373">
        <f t="shared" ref="AO6:AO28" si="9">H6*10</f>
        <v>182274.99739999999</v>
      </c>
      <c r="AP6" s="377">
        <f>$H$6*0.35</f>
        <v>6379.6249089999992</v>
      </c>
      <c r="AQ6" s="373">
        <f>H6-M6-AP6</f>
        <v>11725.203932716002</v>
      </c>
      <c r="AR6" s="373">
        <f t="shared" ref="AR6:AR28" si="10">H6*11</f>
        <v>200502.49713999999</v>
      </c>
      <c r="AS6" s="377">
        <f>$H$6*0.35</f>
        <v>6379.6249089999992</v>
      </c>
      <c r="AT6" s="373">
        <f>AQ6</f>
        <v>11725.203932716002</v>
      </c>
      <c r="AU6" s="373">
        <f t="shared" ref="AU6:AU28" si="11">H6*12</f>
        <v>218729.99687999999</v>
      </c>
      <c r="AV6" s="377">
        <f>$H$6*0.35</f>
        <v>6379.6249089999992</v>
      </c>
      <c r="AW6" s="373">
        <f>H6-M6-AV6</f>
        <v>11725.203932716002</v>
      </c>
      <c r="AX6" s="371"/>
    </row>
    <row r="7" spans="1:50" s="233" customFormat="1" ht="30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11924.021305999999</v>
      </c>
      <c r="I7" s="363">
        <v>0.33</v>
      </c>
      <c r="J7" s="362">
        <v>8500</v>
      </c>
      <c r="K7" s="361">
        <f t="shared" ref="K7:K54" si="12">((P7+S7+V7+Y7+AB7+AE7+AH7+AK7+AN7+AQ7+AT7+AW7)/12)+60</f>
        <v>8503.712574947067</v>
      </c>
      <c r="L7" s="390">
        <f t="shared" si="0"/>
        <v>9143.7769623086733</v>
      </c>
      <c r="M7" s="372">
        <f t="shared" ref="M7:M54" si="13">(H7+G7)*0.0066</f>
        <v>81.067940619599995</v>
      </c>
      <c r="N7" s="373">
        <f t="shared" ref="N7:N54" si="14">$H7*N$4</f>
        <v>11924.021305999999</v>
      </c>
      <c r="O7" s="374">
        <f>(N7-10000)*0.2+1500</f>
        <v>1884.8042611999997</v>
      </c>
      <c r="P7" s="373">
        <f>H7-M7-O7</f>
        <v>9958.1491041804002</v>
      </c>
      <c r="Q7" s="373">
        <f t="shared" ref="Q7:Q54" si="15">$H7*2</f>
        <v>23848.042611999997</v>
      </c>
      <c r="R7" s="374">
        <f>H7*0.2</f>
        <v>2384.8042611999999</v>
      </c>
      <c r="S7" s="373">
        <f>H7-M7-R7</f>
        <v>9458.1491041804002</v>
      </c>
      <c r="T7" s="373">
        <f t="shared" si="1"/>
        <v>35772.063918</v>
      </c>
      <c r="U7" s="376">
        <f>(25000-Q7)*0.2+(T7-25000)*0.27</f>
        <v>3138.8487354600006</v>
      </c>
      <c r="V7" s="373">
        <f>H7-M7-U7</f>
        <v>8704.104629920399</v>
      </c>
      <c r="W7" s="373">
        <f t="shared" si="2"/>
        <v>47696.085223999995</v>
      </c>
      <c r="X7" s="376">
        <f t="shared" si="3"/>
        <v>3219.4857526199999</v>
      </c>
      <c r="Y7" s="373">
        <f>H7-M7-X7</f>
        <v>8623.4676127603998</v>
      </c>
      <c r="Z7" s="373">
        <f t="shared" si="4"/>
        <v>59620.10652999999</v>
      </c>
      <c r="AA7" s="376">
        <f t="shared" ref="AA7:AA24" si="16">H7*0.27</f>
        <v>3219.4857526199999</v>
      </c>
      <c r="AB7" s="373">
        <f>H7-M7-AA7</f>
        <v>8623.4676127603998</v>
      </c>
      <c r="AC7" s="373">
        <f t="shared" si="5"/>
        <v>71544.127836</v>
      </c>
      <c r="AD7" s="376">
        <f t="shared" ref="AD7:AD14" si="17">H7*0.27</f>
        <v>3219.4857526199999</v>
      </c>
      <c r="AE7" s="373">
        <f>H7-M7-AD7</f>
        <v>8623.4676127603998</v>
      </c>
      <c r="AF7" s="373">
        <f t="shared" si="6"/>
        <v>83468.149141999995</v>
      </c>
      <c r="AG7" s="376">
        <f>H7*0.27</f>
        <v>3219.4857526199999</v>
      </c>
      <c r="AH7" s="373">
        <f>H7-M7-AG7</f>
        <v>8623.4676127603998</v>
      </c>
      <c r="AI7" s="373">
        <f t="shared" si="7"/>
        <v>95392.17044799999</v>
      </c>
      <c r="AJ7" s="377">
        <f>(AI7-88000)*0.35+(88000-AF7)*0.27</f>
        <v>3810.8593884599977</v>
      </c>
      <c r="AK7" s="373">
        <f>H7-M7-AJ7</f>
        <v>8032.0939769204015</v>
      </c>
      <c r="AL7" s="373">
        <f t="shared" si="8"/>
        <v>107316.19175399998</v>
      </c>
      <c r="AM7" s="377">
        <f>H7*0.35</f>
        <v>4173.4074570999992</v>
      </c>
      <c r="AN7" s="373">
        <f>$H$7-$M$7-AM7</f>
        <v>7669.5459082804</v>
      </c>
      <c r="AO7" s="373">
        <f t="shared" si="9"/>
        <v>119240.21305999998</v>
      </c>
      <c r="AP7" s="377">
        <f t="shared" ref="AP7:AP12" si="18">H7*0.35</f>
        <v>4173.4074570999992</v>
      </c>
      <c r="AQ7" s="373">
        <f>$H$7-$M$7-AP7</f>
        <v>7669.5459082804</v>
      </c>
      <c r="AR7" s="373">
        <f t="shared" si="10"/>
        <v>131164.23436599999</v>
      </c>
      <c r="AS7" s="377">
        <f t="shared" ref="AS7:AS22" si="19">H7*0.35</f>
        <v>4173.4074570999992</v>
      </c>
      <c r="AT7" s="373">
        <f>$H$7-$M$7-AS7</f>
        <v>7669.5459082804</v>
      </c>
      <c r="AU7" s="373">
        <f t="shared" si="11"/>
        <v>143088.255672</v>
      </c>
      <c r="AV7" s="377">
        <f t="shared" ref="AV7" si="20">AS7</f>
        <v>4173.4074570999992</v>
      </c>
      <c r="AW7" s="373">
        <f>$H$7-$M$7-AV7</f>
        <v>7669.5459082804</v>
      </c>
      <c r="AX7" s="371"/>
    </row>
    <row r="8" spans="1:50" s="233" customFormat="1" ht="30" customHeight="1" x14ac:dyDescent="0.45">
      <c r="A8" s="728"/>
      <c r="B8" s="458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21">D8+E8*$H$5*$I8-G8</f>
        <v>9709.2856400000001</v>
      </c>
      <c r="I8" s="363">
        <v>0.2</v>
      </c>
      <c r="J8" s="362">
        <v>7066</v>
      </c>
      <c r="K8" s="361">
        <f t="shared" si="12"/>
        <v>7078.7516474426657</v>
      </c>
      <c r="L8" s="390">
        <f t="shared" si="0"/>
        <v>7611.560911228672</v>
      </c>
      <c r="M8" s="372">
        <f t="shared" si="13"/>
        <v>66.450685223999997</v>
      </c>
      <c r="N8" s="373">
        <f t="shared" si="14"/>
        <v>9709.2856400000001</v>
      </c>
      <c r="O8" s="378">
        <f>H8*0.15</f>
        <v>1456.392846</v>
      </c>
      <c r="P8" s="373">
        <f>$H$8-$M$8-O8</f>
        <v>8186.4421087760011</v>
      </c>
      <c r="Q8" s="373">
        <f t="shared" si="15"/>
        <v>19418.57128</v>
      </c>
      <c r="R8" s="374">
        <f t="shared" ref="R8" si="22">(Q8-10000)*0.2+(10000-N8)*0.15</f>
        <v>1927.3214100000002</v>
      </c>
      <c r="S8" s="373">
        <f>$H$8-$M$8-R8</f>
        <v>7715.5135447760003</v>
      </c>
      <c r="T8" s="373">
        <f t="shared" si="1"/>
        <v>29127.856919999998</v>
      </c>
      <c r="U8" s="376">
        <f>(T8-25000)*0.27+(25000-Q8)*0.2</f>
        <v>2230.8071123999998</v>
      </c>
      <c r="V8" s="373">
        <f>$H$8-$M$8-U8</f>
        <v>7412.027842376001</v>
      </c>
      <c r="W8" s="373">
        <f t="shared" si="2"/>
        <v>38837.14256</v>
      </c>
      <c r="X8" s="376">
        <f t="shared" si="3"/>
        <v>2621.5071228000002</v>
      </c>
      <c r="Y8" s="373">
        <f>$H$8-$M$8-X8</f>
        <v>7021.3278319760011</v>
      </c>
      <c r="Z8" s="373">
        <f t="shared" si="4"/>
        <v>48546.428200000002</v>
      </c>
      <c r="AA8" s="376">
        <f t="shared" si="16"/>
        <v>2621.5071228000002</v>
      </c>
      <c r="AB8" s="373">
        <f>$H$8-$M$8-AA8</f>
        <v>7021.3278319760011</v>
      </c>
      <c r="AC8" s="373">
        <f t="shared" si="5"/>
        <v>58255.713839999997</v>
      </c>
      <c r="AD8" s="376">
        <f t="shared" si="17"/>
        <v>2621.5071228000002</v>
      </c>
      <c r="AE8" s="373">
        <f>$H$8-$M$8-AD8</f>
        <v>7021.3278319760011</v>
      </c>
      <c r="AF8" s="373">
        <f t="shared" si="6"/>
        <v>67964.999479999999</v>
      </c>
      <c r="AG8" s="376">
        <f>H8*0.27</f>
        <v>2621.5071228000002</v>
      </c>
      <c r="AH8" s="373">
        <f>$H$8-$M$8-AG8</f>
        <v>7021.3278319760011</v>
      </c>
      <c r="AI8" s="373">
        <f t="shared" si="7"/>
        <v>77674.28512</v>
      </c>
      <c r="AJ8" s="376">
        <f>H8*0.27</f>
        <v>2621.5071228000002</v>
      </c>
      <c r="AK8" s="373">
        <f>$H$8-$M$8-AJ8</f>
        <v>7021.3278319760011</v>
      </c>
      <c r="AL8" s="373">
        <f t="shared" si="8"/>
        <v>87383.570760000002</v>
      </c>
      <c r="AM8" s="377">
        <f>(AL8-88000)*0.35+(88000-AI8)*0.27</f>
        <v>2572.1927836000009</v>
      </c>
      <c r="AN8" s="373">
        <f>$H$8-$M$8-AM8</f>
        <v>7070.6421711759995</v>
      </c>
      <c r="AO8" s="373">
        <f t="shared" si="9"/>
        <v>97092.856400000004</v>
      </c>
      <c r="AP8" s="377">
        <f t="shared" si="18"/>
        <v>3398.2499739999998</v>
      </c>
      <c r="AQ8" s="373">
        <f>$H$8-$M$8-AP8</f>
        <v>6244.5849807760005</v>
      </c>
      <c r="AR8" s="373">
        <f t="shared" si="10"/>
        <v>106802.14204000001</v>
      </c>
      <c r="AS8" s="377">
        <f t="shared" si="19"/>
        <v>3398.2499739999998</v>
      </c>
      <c r="AT8" s="373">
        <f>$H$8-$M$8-AS8</f>
        <v>6244.5849807760005</v>
      </c>
      <c r="AU8" s="373">
        <f t="shared" si="11"/>
        <v>116511.42767999999</v>
      </c>
      <c r="AV8" s="377">
        <f t="shared" ref="AV8:AV22" si="23">H8*0.35</f>
        <v>3398.2499739999998</v>
      </c>
      <c r="AW8" s="373">
        <f>$H$8-$M$8-AV8</f>
        <v>6244.5849807760005</v>
      </c>
      <c r="AX8" s="371"/>
    </row>
    <row r="9" spans="1:50" s="233" customFormat="1" ht="30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24">D9+E9</f>
        <v>19983.72</v>
      </c>
      <c r="G9" s="233">
        <v>359</v>
      </c>
      <c r="H9" s="353">
        <f t="shared" si="21"/>
        <v>14107.781648</v>
      </c>
      <c r="I9" s="363">
        <v>0.63</v>
      </c>
      <c r="J9" s="362">
        <v>9900</v>
      </c>
      <c r="K9" s="361">
        <f t="shared" si="12"/>
        <v>9908.743978989869</v>
      </c>
      <c r="L9" s="390">
        <f t="shared" si="0"/>
        <v>10654.563418268675</v>
      </c>
      <c r="M9" s="372">
        <f t="shared" si="13"/>
        <v>95.480758876799996</v>
      </c>
      <c r="N9" s="373">
        <f t="shared" si="14"/>
        <v>14107.781648</v>
      </c>
      <c r="O9" s="374">
        <f t="shared" ref="O9:O20" si="25">(N9-10000)*0.2+10000*0.15</f>
        <v>2321.5563296</v>
      </c>
      <c r="P9" s="373">
        <f>H9-O9-M9</f>
        <v>11690.7445595232</v>
      </c>
      <c r="Q9" s="373">
        <f t="shared" si="15"/>
        <v>28215.563296</v>
      </c>
      <c r="R9" s="376">
        <f>(Q9-25000)*0.27+(25000-N9)*0.2</f>
        <v>3046.6457603200001</v>
      </c>
      <c r="S9" s="373">
        <f>$H$9-$M$9-R9</f>
        <v>10965.655128803201</v>
      </c>
      <c r="T9" s="373">
        <f t="shared" si="1"/>
        <v>42323.344943999997</v>
      </c>
      <c r="U9" s="376">
        <f t="shared" ref="U9:U10" si="26">N9*0.27</f>
        <v>3809.1010449600003</v>
      </c>
      <c r="V9" s="373">
        <f>$H$9-$M$9-U9</f>
        <v>10203.1998441632</v>
      </c>
      <c r="W9" s="373">
        <f t="shared" si="2"/>
        <v>56431.126592000001</v>
      </c>
      <c r="X9" s="376">
        <f t="shared" si="3"/>
        <v>3809.1010449600003</v>
      </c>
      <c r="Y9" s="373">
        <f>$H$9-$M$9-X9</f>
        <v>10203.1998441632</v>
      </c>
      <c r="Z9" s="373">
        <f t="shared" si="4"/>
        <v>70538.908240000004</v>
      </c>
      <c r="AA9" s="376">
        <f t="shared" si="16"/>
        <v>3809.1010449600003</v>
      </c>
      <c r="AB9" s="373">
        <f>$H$9-$M$9-AA9</f>
        <v>10203.1998441632</v>
      </c>
      <c r="AC9" s="373">
        <f t="shared" si="5"/>
        <v>84646.689887999994</v>
      </c>
      <c r="AD9" s="376">
        <f t="shared" si="17"/>
        <v>3809.1010449600003</v>
      </c>
      <c r="AE9" s="373">
        <f>$H$9-$M$9-AD9</f>
        <v>10203.1998441632</v>
      </c>
      <c r="AF9" s="373">
        <f t="shared" si="6"/>
        <v>98754.471535999997</v>
      </c>
      <c r="AG9" s="377">
        <f>(AF9-88000)*0.35+(88000-AC9)*0.27</f>
        <v>4669.4587678400003</v>
      </c>
      <c r="AH9" s="373">
        <f>$H$9-$M$9-AG9</f>
        <v>9342.8421212832</v>
      </c>
      <c r="AI9" s="373">
        <f t="shared" si="7"/>
        <v>112862.253184</v>
      </c>
      <c r="AJ9" s="377">
        <f>H9*0.35</f>
        <v>4937.7235768</v>
      </c>
      <c r="AK9" s="373">
        <f>$H$9-$M$9-AJ9</f>
        <v>9074.5773123231993</v>
      </c>
      <c r="AL9" s="373">
        <f t="shared" si="8"/>
        <v>126970.034832</v>
      </c>
      <c r="AM9" s="377">
        <f>H9*0.35</f>
        <v>4937.7235768</v>
      </c>
      <c r="AN9" s="373">
        <f>$H$9-$M$9-AM9</f>
        <v>9074.5773123231993</v>
      </c>
      <c r="AO9" s="373">
        <f t="shared" si="9"/>
        <v>141077.81648000001</v>
      </c>
      <c r="AP9" s="377">
        <f t="shared" si="18"/>
        <v>4937.7235768</v>
      </c>
      <c r="AQ9" s="373">
        <f>$H$9-$M$9-AP9</f>
        <v>9074.5773123231993</v>
      </c>
      <c r="AR9" s="373">
        <f t="shared" si="10"/>
        <v>155185.59812800001</v>
      </c>
      <c r="AS9" s="377">
        <f t="shared" si="19"/>
        <v>4937.7235768</v>
      </c>
      <c r="AT9" s="373">
        <f>$H$9-$M$9-AS9</f>
        <v>9074.5773123231993</v>
      </c>
      <c r="AU9" s="373">
        <f t="shared" si="11"/>
        <v>169293.37977599999</v>
      </c>
      <c r="AV9" s="377">
        <f t="shared" si="23"/>
        <v>4937.7235768</v>
      </c>
      <c r="AW9" s="373">
        <f>$H$9-$M$9-AV9</f>
        <v>9074.5773123231993</v>
      </c>
      <c r="AX9" s="371"/>
    </row>
    <row r="10" spans="1:50" s="233" customFormat="1" ht="30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24"/>
        <v>19983.72</v>
      </c>
      <c r="G10" s="233">
        <v>359</v>
      </c>
      <c r="H10" s="353">
        <f t="shared" si="21"/>
        <v>12497.0648</v>
      </c>
      <c r="I10" s="463">
        <v>0.5</v>
      </c>
      <c r="J10" s="362">
        <v>8900</v>
      </c>
      <c r="K10" s="361">
        <f t="shared" si="12"/>
        <v>8872.3745149866645</v>
      </c>
      <c r="L10" s="390">
        <f t="shared" si="0"/>
        <v>9540.187650523294</v>
      </c>
      <c r="M10" s="372">
        <f t="shared" si="13"/>
        <v>84.850027679999997</v>
      </c>
      <c r="N10" s="373">
        <f t="shared" si="14"/>
        <v>12497.0648</v>
      </c>
      <c r="O10" s="374">
        <f t="shared" si="25"/>
        <v>1999.4129600000001</v>
      </c>
      <c r="P10" s="373">
        <f>$H$10-$M$10-O10</f>
        <v>10412.80181232</v>
      </c>
      <c r="Q10" s="373">
        <f t="shared" si="15"/>
        <v>24994.1296</v>
      </c>
      <c r="R10" s="376">
        <f>H10*0.2</f>
        <v>2499.4129600000001</v>
      </c>
      <c r="S10" s="373">
        <f>$H$10-$M$10-R10</f>
        <v>9912.80181232</v>
      </c>
      <c r="T10" s="373">
        <f t="shared" si="1"/>
        <v>37491.1944</v>
      </c>
      <c r="U10" s="376">
        <f t="shared" si="26"/>
        <v>3374.2074960000004</v>
      </c>
      <c r="V10" s="373">
        <f>$H$10-$M$10-U10</f>
        <v>9038.0072763199987</v>
      </c>
      <c r="W10" s="373">
        <f t="shared" si="2"/>
        <v>49988.2592</v>
      </c>
      <c r="X10" s="376">
        <f t="shared" si="3"/>
        <v>3374.2074960000004</v>
      </c>
      <c r="Y10" s="373">
        <f>$H$10-$M$10-X10</f>
        <v>9038.0072763199987</v>
      </c>
      <c r="Z10" s="373">
        <f t="shared" si="4"/>
        <v>62485.324000000001</v>
      </c>
      <c r="AA10" s="376">
        <f t="shared" si="16"/>
        <v>3374.2074960000004</v>
      </c>
      <c r="AB10" s="373">
        <f>$H$10-$M$10-AA10</f>
        <v>9038.0072763199987</v>
      </c>
      <c r="AC10" s="373">
        <f t="shared" si="5"/>
        <v>74982.388800000001</v>
      </c>
      <c r="AD10" s="376">
        <f t="shared" si="17"/>
        <v>3374.2074960000004</v>
      </c>
      <c r="AE10" s="373">
        <f>$H$10-$M$10-AD10</f>
        <v>9038.0072763199987</v>
      </c>
      <c r="AF10" s="373">
        <f t="shared" si="6"/>
        <v>87479.453600000008</v>
      </c>
      <c r="AG10" s="377">
        <f>(AF10-88000)*0.35+(88000-AC10)*0.27</f>
        <v>3332.5637840000027</v>
      </c>
      <c r="AH10" s="373">
        <f>$H$10-$M$10-AG10</f>
        <v>9079.6509883199979</v>
      </c>
      <c r="AI10" s="373">
        <f t="shared" si="7"/>
        <v>99976.518400000001</v>
      </c>
      <c r="AJ10" s="377">
        <f>H10*0.35</f>
        <v>4373.9726799999999</v>
      </c>
      <c r="AK10" s="373">
        <f>$H$10-$M$10-AJ10</f>
        <v>8038.2420923199998</v>
      </c>
      <c r="AL10" s="373">
        <f t="shared" si="8"/>
        <v>112473.58319999999</v>
      </c>
      <c r="AM10" s="377">
        <f>H10*0.35</f>
        <v>4373.9726799999999</v>
      </c>
      <c r="AN10" s="373">
        <f>$H$10-$M$10-AM10</f>
        <v>8038.2420923199998</v>
      </c>
      <c r="AO10" s="373">
        <f t="shared" si="9"/>
        <v>124970.648</v>
      </c>
      <c r="AP10" s="377">
        <f t="shared" si="18"/>
        <v>4373.9726799999999</v>
      </c>
      <c r="AQ10" s="373">
        <f>$H$10-$M$10-AP10</f>
        <v>8038.2420923199998</v>
      </c>
      <c r="AR10" s="373">
        <f t="shared" si="10"/>
        <v>137467.71280000001</v>
      </c>
      <c r="AS10" s="377">
        <f t="shared" si="19"/>
        <v>4373.9726799999999</v>
      </c>
      <c r="AT10" s="373">
        <f>$H$10-$M$10-AS10</f>
        <v>8038.2420923199998</v>
      </c>
      <c r="AU10" s="373">
        <f t="shared" si="11"/>
        <v>149964.7776</v>
      </c>
      <c r="AV10" s="377">
        <f t="shared" si="23"/>
        <v>4373.9726799999999</v>
      </c>
      <c r="AW10" s="373">
        <f>$H$10-$M$10-AV10</f>
        <v>8038.2420923199998</v>
      </c>
      <c r="AX10" s="371"/>
    </row>
    <row r="11" spans="1:50" s="233" customFormat="1" ht="30" customHeight="1" x14ac:dyDescent="0.45">
      <c r="A11" s="728"/>
      <c r="B11" s="458" t="s">
        <v>234</v>
      </c>
      <c r="C11" s="231">
        <v>300</v>
      </c>
      <c r="D11" s="238">
        <v>6661</v>
      </c>
      <c r="E11" s="234">
        <v>9992.0399999999991</v>
      </c>
      <c r="F11" s="234">
        <f t="shared" si="24"/>
        <v>16653.04</v>
      </c>
      <c r="G11" s="233">
        <v>359</v>
      </c>
      <c r="H11" s="353">
        <f t="shared" si="21"/>
        <v>10204.890824</v>
      </c>
      <c r="I11" s="463">
        <v>0.42</v>
      </c>
      <c r="J11" s="362">
        <v>7400</v>
      </c>
      <c r="K11" s="361">
        <f t="shared" si="12"/>
        <v>7397.624022828265</v>
      </c>
      <c r="L11" s="390">
        <f t="shared" si="0"/>
        <v>7954.4344331486718</v>
      </c>
      <c r="M11" s="372">
        <f t="shared" si="13"/>
        <v>69.721679438400002</v>
      </c>
      <c r="N11" s="373">
        <f t="shared" si="14"/>
        <v>10204.890824</v>
      </c>
      <c r="O11" s="374">
        <f t="shared" si="25"/>
        <v>1540.9781648000001</v>
      </c>
      <c r="P11" s="373">
        <f>$H$11-$M$11-O11</f>
        <v>8594.190979761599</v>
      </c>
      <c r="Q11" s="373">
        <f t="shared" si="15"/>
        <v>20409.781648</v>
      </c>
      <c r="R11" s="374">
        <f>H11*0.2</f>
        <v>2040.9781648000001</v>
      </c>
      <c r="S11" s="373">
        <f>$H$11-$M$11-R11</f>
        <v>8094.1909797615999</v>
      </c>
      <c r="T11" s="373">
        <f t="shared" si="1"/>
        <v>30614.672471999998</v>
      </c>
      <c r="U11" s="376">
        <f>(T11-25000)*0.27+(25000-Q11)*0.2</f>
        <v>2434.0052378399996</v>
      </c>
      <c r="V11" s="373">
        <f>$H$11-$M$11-U11</f>
        <v>7701.1639067216001</v>
      </c>
      <c r="W11" s="373">
        <f t="shared" si="2"/>
        <v>40819.563296</v>
      </c>
      <c r="X11" s="376">
        <f t="shared" si="3"/>
        <v>2755.3205224800004</v>
      </c>
      <c r="Y11" s="373">
        <f>$H$11-$M$11-X11</f>
        <v>7379.8486220815994</v>
      </c>
      <c r="Z11" s="373">
        <f t="shared" si="4"/>
        <v>51024.454120000002</v>
      </c>
      <c r="AA11" s="376">
        <f t="shared" si="16"/>
        <v>2755.3205224800004</v>
      </c>
      <c r="AB11" s="373">
        <f>$H$11-$M$11-AA11</f>
        <v>7379.8486220815994</v>
      </c>
      <c r="AC11" s="373">
        <f t="shared" si="5"/>
        <v>61229.344943999997</v>
      </c>
      <c r="AD11" s="376">
        <f t="shared" si="17"/>
        <v>2755.3205224800004</v>
      </c>
      <c r="AE11" s="373">
        <f>$H$11-$M$11-AD11</f>
        <v>7379.8486220815994</v>
      </c>
      <c r="AF11" s="373">
        <f t="shared" si="6"/>
        <v>71434.235767999999</v>
      </c>
      <c r="AG11" s="376">
        <f>H11*0.27</f>
        <v>2755.3205224800004</v>
      </c>
      <c r="AH11" s="373">
        <f>$H$11-$M$11-AG11</f>
        <v>7379.8486220815994</v>
      </c>
      <c r="AI11" s="373">
        <f t="shared" si="7"/>
        <v>81639.126592000001</v>
      </c>
      <c r="AJ11" s="376">
        <f>H11*0.27</f>
        <v>2755.3205224800004</v>
      </c>
      <c r="AK11" s="373">
        <f>$H$11-$M$11-AJ11</f>
        <v>7379.8486220815994</v>
      </c>
      <c r="AL11" s="373">
        <f t="shared" si="8"/>
        <v>91844.017416000002</v>
      </c>
      <c r="AM11" s="377">
        <f>(AL11-88000)*0.35+(88000-AI11)*0.27</f>
        <v>3062.841915760001</v>
      </c>
      <c r="AN11" s="373">
        <f>$H$11-$M$11-AM11</f>
        <v>7072.3272288015987</v>
      </c>
      <c r="AO11" s="373">
        <f t="shared" si="9"/>
        <v>102048.90824</v>
      </c>
      <c r="AP11" s="377">
        <f t="shared" si="18"/>
        <v>3571.7117883999999</v>
      </c>
      <c r="AQ11" s="373">
        <f>$H$11-$M$11-AP11</f>
        <v>6563.4573561615998</v>
      </c>
      <c r="AR11" s="373">
        <f t="shared" si="10"/>
        <v>112253.79906400001</v>
      </c>
      <c r="AS11" s="377">
        <f t="shared" si="19"/>
        <v>3571.7117883999999</v>
      </c>
      <c r="AT11" s="373">
        <f>$H$11-$M$11-AS11</f>
        <v>6563.4573561615998</v>
      </c>
      <c r="AU11" s="373">
        <f t="shared" si="11"/>
        <v>122458.68988799999</v>
      </c>
      <c r="AV11" s="377">
        <f t="shared" si="23"/>
        <v>3571.7117883999999</v>
      </c>
      <c r="AW11" s="373">
        <f>$H$11-$M$11-AV11</f>
        <v>6563.4573561615998</v>
      </c>
      <c r="AX11" s="371"/>
    </row>
    <row r="12" spans="1:50" s="380" customFormat="1" ht="30" customHeight="1" x14ac:dyDescent="0.45">
      <c r="A12" s="728"/>
      <c r="B12" s="458" t="s">
        <v>236</v>
      </c>
      <c r="C12" s="231">
        <v>300</v>
      </c>
      <c r="D12" s="238">
        <v>6661</v>
      </c>
      <c r="E12" s="234">
        <v>9992.0399999999991</v>
      </c>
      <c r="F12" s="234">
        <f t="shared" si="24"/>
        <v>16653.04</v>
      </c>
      <c r="G12" s="233">
        <v>359</v>
      </c>
      <c r="H12" s="353">
        <f t="shared" si="21"/>
        <v>9926.1129079999992</v>
      </c>
      <c r="I12" s="463">
        <v>0.39</v>
      </c>
      <c r="J12" s="362">
        <v>7200</v>
      </c>
      <c r="K12" s="361">
        <f t="shared" si="12"/>
        <v>7218.2583116738651</v>
      </c>
      <c r="L12" s="390">
        <f t="shared" si="0"/>
        <v>7761.5680770686722</v>
      </c>
      <c r="M12" s="372">
        <f t="shared" si="13"/>
        <v>67.881745192799997</v>
      </c>
      <c r="N12" s="373">
        <f t="shared" si="14"/>
        <v>9926.1129079999992</v>
      </c>
      <c r="O12" s="381">
        <f t="shared" si="25"/>
        <v>1485.2225815999998</v>
      </c>
      <c r="P12" s="373">
        <f>$H$12-$M$12-O12</f>
        <v>8373.0085812071993</v>
      </c>
      <c r="Q12" s="373">
        <f t="shared" si="15"/>
        <v>19852.225815999998</v>
      </c>
      <c r="R12" s="381">
        <f>H12*0.2</f>
        <v>1985.2225816</v>
      </c>
      <c r="S12" s="373">
        <f>$H$12-$M$12-R12</f>
        <v>7873.0085812071984</v>
      </c>
      <c r="T12" s="373">
        <f t="shared" si="1"/>
        <v>29778.338723999997</v>
      </c>
      <c r="U12" s="382">
        <f>(T12-25000)*0.27+(25000-Q12)*0.2</f>
        <v>2319.7062922799996</v>
      </c>
      <c r="V12" s="373">
        <f>$H$12-$M$12-U12</f>
        <v>7538.5248705271988</v>
      </c>
      <c r="W12" s="373">
        <f t="shared" si="2"/>
        <v>39704.451631999997</v>
      </c>
      <c r="X12" s="382">
        <f t="shared" si="3"/>
        <v>2680.0504851599999</v>
      </c>
      <c r="Y12" s="373">
        <f>$H$12-$M$12-X12</f>
        <v>7178.1806776471985</v>
      </c>
      <c r="Z12" s="373">
        <f t="shared" si="4"/>
        <v>49630.564539999992</v>
      </c>
      <c r="AA12" s="382">
        <f t="shared" si="16"/>
        <v>2680.0504851599999</v>
      </c>
      <c r="AB12" s="373">
        <f>$H$12-$M$12-AA12</f>
        <v>7178.1806776471985</v>
      </c>
      <c r="AC12" s="373">
        <f t="shared" si="5"/>
        <v>59556.677447999995</v>
      </c>
      <c r="AD12" s="382">
        <f t="shared" si="17"/>
        <v>2680.0504851599999</v>
      </c>
      <c r="AE12" s="373">
        <f>$H$12-$M$12-AD12</f>
        <v>7178.1806776471985</v>
      </c>
      <c r="AF12" s="373">
        <f t="shared" si="6"/>
        <v>69482.790355999998</v>
      </c>
      <c r="AG12" s="382">
        <f>H12*0.27</f>
        <v>2680.0504851599999</v>
      </c>
      <c r="AH12" s="373">
        <f>$H$12-$M$12-AG12</f>
        <v>7178.1806776471985</v>
      </c>
      <c r="AI12" s="373">
        <f t="shared" si="7"/>
        <v>79408.903263999993</v>
      </c>
      <c r="AJ12" s="376">
        <f>H12*0.27</f>
        <v>2680.0504851599999</v>
      </c>
      <c r="AK12" s="373">
        <f>$H$12-$M$12-AJ12</f>
        <v>7178.1806776471985</v>
      </c>
      <c r="AL12" s="373">
        <f t="shared" si="8"/>
        <v>89335.016171999989</v>
      </c>
      <c r="AM12" s="377">
        <f>(AL12-88000)*0.35+(88000-AI12)*0.27</f>
        <v>2786.8517789199977</v>
      </c>
      <c r="AN12" s="373">
        <f>$H$12-$M$12-AM12</f>
        <v>7071.3793838872007</v>
      </c>
      <c r="AO12" s="373">
        <f t="shared" si="9"/>
        <v>99261.129079999984</v>
      </c>
      <c r="AP12" s="383">
        <f t="shared" si="18"/>
        <v>3474.1395177999993</v>
      </c>
      <c r="AQ12" s="373">
        <f>$H$12-$M$12-AP12</f>
        <v>6384.0916450071991</v>
      </c>
      <c r="AR12" s="373">
        <f t="shared" si="10"/>
        <v>109187.24198799999</v>
      </c>
      <c r="AS12" s="383">
        <f t="shared" si="19"/>
        <v>3474.1395177999993</v>
      </c>
      <c r="AT12" s="373">
        <f>$H$12-$M$12-AS12</f>
        <v>6384.0916450071991</v>
      </c>
      <c r="AU12" s="373">
        <f t="shared" si="11"/>
        <v>119113.35489599999</v>
      </c>
      <c r="AV12" s="383">
        <f t="shared" si="23"/>
        <v>3474.1395177999993</v>
      </c>
      <c r="AW12" s="373">
        <f>$H$12-$M$12-AV12</f>
        <v>6384.0916450071991</v>
      </c>
      <c r="AX12" s="384"/>
    </row>
    <row r="13" spans="1:50" s="233" customFormat="1" ht="30" customHeight="1" x14ac:dyDescent="0.45">
      <c r="A13" s="728"/>
      <c r="B13" s="458" t="s">
        <v>235</v>
      </c>
      <c r="C13" s="231">
        <v>300</v>
      </c>
      <c r="D13" s="238">
        <v>6661</v>
      </c>
      <c r="E13" s="234">
        <v>9992.0399999999991</v>
      </c>
      <c r="F13" s="234">
        <f t="shared" si="24"/>
        <v>16653.04</v>
      </c>
      <c r="G13" s="233">
        <v>359</v>
      </c>
      <c r="H13" s="353">
        <f t="shared" si="21"/>
        <v>9275.6311040000001</v>
      </c>
      <c r="I13" s="463">
        <v>0.32</v>
      </c>
      <c r="J13" s="362">
        <v>6800</v>
      </c>
      <c r="K13" s="361">
        <f t="shared" si="12"/>
        <v>6799.7383189802667</v>
      </c>
      <c r="L13" s="390">
        <f t="shared" si="0"/>
        <v>7311.5465795486734</v>
      </c>
      <c r="M13" s="372">
        <f t="shared" si="13"/>
        <v>63.588565286399998</v>
      </c>
      <c r="N13" s="373">
        <f t="shared" si="14"/>
        <v>9275.6311040000001</v>
      </c>
      <c r="O13" s="378">
        <f>(N13*0.15)</f>
        <v>1391.3446655999999</v>
      </c>
      <c r="P13" s="373">
        <f>$H$13-$M$13-O13</f>
        <v>7820.6978731136005</v>
      </c>
      <c r="Q13" s="373">
        <f t="shared" si="15"/>
        <v>18551.262208</v>
      </c>
      <c r="R13" s="374">
        <f>(Q13-10000)*0.2+(10000-N13)*0.15</f>
        <v>1818.907776</v>
      </c>
      <c r="S13" s="373">
        <f>$H$13-$M$13-R13</f>
        <v>7393.1347627136001</v>
      </c>
      <c r="T13" s="373">
        <f t="shared" si="1"/>
        <v>27826.893312</v>
      </c>
      <c r="U13" s="376">
        <f>(T13-25000)*0.27+(25000-Q13)*0.2</f>
        <v>2053.0087526400002</v>
      </c>
      <c r="V13" s="373">
        <f>$H$13-$M$13-U13</f>
        <v>7159.0337860735999</v>
      </c>
      <c r="W13" s="373">
        <f t="shared" si="2"/>
        <v>37102.524416</v>
      </c>
      <c r="X13" s="376">
        <f t="shared" si="3"/>
        <v>2504.4203980800003</v>
      </c>
      <c r="Y13" s="373">
        <f>$H$13-$M$13-X13</f>
        <v>6707.6221406335999</v>
      </c>
      <c r="Z13" s="373">
        <f t="shared" si="4"/>
        <v>46378.15552</v>
      </c>
      <c r="AA13" s="376">
        <f t="shared" si="16"/>
        <v>2504.4203980800003</v>
      </c>
      <c r="AB13" s="373">
        <f>$H$13-$M$13-AA13</f>
        <v>6707.6221406335999</v>
      </c>
      <c r="AC13" s="373">
        <f t="shared" si="5"/>
        <v>55653.786624</v>
      </c>
      <c r="AD13" s="376">
        <f t="shared" si="17"/>
        <v>2504.4203980800003</v>
      </c>
      <c r="AE13" s="373">
        <f>$H$13-$M$13-AD13</f>
        <v>6707.6221406335999</v>
      </c>
      <c r="AF13" s="373">
        <f t="shared" si="6"/>
        <v>64929.417728</v>
      </c>
      <c r="AG13" s="376">
        <f>H13*0.27</f>
        <v>2504.4203980800003</v>
      </c>
      <c r="AH13" s="373">
        <f>$H$13-$M$13-AG13</f>
        <v>6707.6221406335999</v>
      </c>
      <c r="AI13" s="373">
        <f t="shared" si="7"/>
        <v>74205.048832</v>
      </c>
      <c r="AJ13" s="376">
        <f>H13*0.27</f>
        <v>2504.4203980800003</v>
      </c>
      <c r="AK13" s="373">
        <f>$H$13-$M$13-AJ13</f>
        <v>6707.6221406335999</v>
      </c>
      <c r="AL13" s="373">
        <f t="shared" si="8"/>
        <v>83480.679936</v>
      </c>
      <c r="AM13" s="376">
        <f>H13*0.27</f>
        <v>2504.4203980800003</v>
      </c>
      <c r="AN13" s="373">
        <f>$H$13-$M$13-AM13</f>
        <v>6707.6221406335999</v>
      </c>
      <c r="AO13" s="373">
        <f t="shared" si="9"/>
        <v>92756.311040000001</v>
      </c>
      <c r="AP13" s="377">
        <f>(AO13-88000)*0.35+(88000-AL13)*0.27</f>
        <v>2884.92528128</v>
      </c>
      <c r="AQ13" s="373">
        <f>$H$13-$M$13-AP13</f>
        <v>6327.1172574335997</v>
      </c>
      <c r="AR13" s="373">
        <f t="shared" si="10"/>
        <v>102031.942144</v>
      </c>
      <c r="AS13" s="377">
        <f t="shared" si="19"/>
        <v>3246.4708863999999</v>
      </c>
      <c r="AT13" s="373">
        <f>$H$13-$M$13-AS13</f>
        <v>5965.5716523135998</v>
      </c>
      <c r="AU13" s="373">
        <f t="shared" si="11"/>
        <v>111307.573248</v>
      </c>
      <c r="AV13" s="377">
        <f t="shared" si="23"/>
        <v>3246.4708863999999</v>
      </c>
      <c r="AW13" s="373">
        <f>$H$13-$M$13-AV13</f>
        <v>5965.5716523135998</v>
      </c>
      <c r="AX13" s="371"/>
    </row>
    <row r="14" spans="1:50" s="233" customFormat="1" ht="30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24"/>
        <v>16653.04</v>
      </c>
      <c r="G14" s="233">
        <v>359</v>
      </c>
      <c r="H14" s="353">
        <f t="shared" si="21"/>
        <v>8346.371384</v>
      </c>
      <c r="I14" s="463">
        <v>0.22</v>
      </c>
      <c r="J14" s="362">
        <v>6200</v>
      </c>
      <c r="K14" s="361">
        <f t="shared" si="12"/>
        <v>6201.8526151322667</v>
      </c>
      <c r="L14" s="390">
        <f t="shared" si="0"/>
        <v>6668.6587259486732</v>
      </c>
      <c r="M14" s="372">
        <f t="shared" si="13"/>
        <v>57.455451134400001</v>
      </c>
      <c r="N14" s="373">
        <f t="shared" si="14"/>
        <v>8346.371384</v>
      </c>
      <c r="O14" s="378">
        <f>(N14*0.15)</f>
        <v>1251.9557075999999</v>
      </c>
      <c r="P14" s="373">
        <f>$H$14-$M$14-O14</f>
        <v>7036.9602252656005</v>
      </c>
      <c r="Q14" s="373">
        <f t="shared" si="15"/>
        <v>16692.742768</v>
      </c>
      <c r="R14" s="374">
        <f>(Q14-10000)*0.2+(10000-N14)*0.15</f>
        <v>1586.592846</v>
      </c>
      <c r="S14" s="373">
        <f>$H$14-$M$14-R14</f>
        <v>6702.323086865601</v>
      </c>
      <c r="T14" s="373">
        <f t="shared" si="1"/>
        <v>25039.114152000002</v>
      </c>
      <c r="U14" s="376">
        <f>(T14-25000)*0.27+(25000-Q14)*0.2</f>
        <v>1672.0122674400006</v>
      </c>
      <c r="V14" s="373">
        <f>$H$14-$M$14-U14</f>
        <v>6616.9036654255997</v>
      </c>
      <c r="W14" s="373">
        <f t="shared" si="2"/>
        <v>33385.485536</v>
      </c>
      <c r="X14" s="376">
        <f t="shared" si="3"/>
        <v>2253.5202736800002</v>
      </c>
      <c r="Y14" s="373">
        <f>$H$14-$M$14-X14</f>
        <v>6035.3956591856004</v>
      </c>
      <c r="Z14" s="373">
        <f t="shared" si="4"/>
        <v>41731.856919999998</v>
      </c>
      <c r="AA14" s="376">
        <f t="shared" si="16"/>
        <v>2253.5202736800002</v>
      </c>
      <c r="AB14" s="373">
        <f>$H$14-$M$14-AA14</f>
        <v>6035.3956591856004</v>
      </c>
      <c r="AC14" s="373">
        <f t="shared" si="5"/>
        <v>50078.228304000004</v>
      </c>
      <c r="AD14" s="376">
        <f t="shared" si="17"/>
        <v>2253.5202736800002</v>
      </c>
      <c r="AE14" s="373">
        <f>$H$14-$M$14-AD14</f>
        <v>6035.3956591856004</v>
      </c>
      <c r="AF14" s="373">
        <f t="shared" si="6"/>
        <v>58424.599688000002</v>
      </c>
      <c r="AG14" s="376">
        <f>H14*0.27</f>
        <v>2253.5202736800002</v>
      </c>
      <c r="AH14" s="373">
        <f>$H$14-$M$14-AG14</f>
        <v>6035.3956591856004</v>
      </c>
      <c r="AI14" s="373">
        <f t="shared" si="7"/>
        <v>66770.971072</v>
      </c>
      <c r="AJ14" s="376">
        <f>H14*0.27</f>
        <v>2253.5202736800002</v>
      </c>
      <c r="AK14" s="373">
        <f>$H$14-$M$14-AJ14</f>
        <v>6035.3956591856004</v>
      </c>
      <c r="AL14" s="373">
        <f t="shared" si="8"/>
        <v>75117.342455999998</v>
      </c>
      <c r="AM14" s="376">
        <f>H14*0.27</f>
        <v>2253.5202736800002</v>
      </c>
      <c r="AN14" s="373">
        <f>$H$14-$M$14-AM14</f>
        <v>6035.3956591856004</v>
      </c>
      <c r="AO14" s="373">
        <f t="shared" si="9"/>
        <v>83463.713839999997</v>
      </c>
      <c r="AP14" s="377">
        <f>(AO14-88000)*0.35+(88000-AL14)*0.27</f>
        <v>1890.6173808799997</v>
      </c>
      <c r="AQ14" s="373">
        <f>$H$14-$M$14-AP14</f>
        <v>6398.2985519856011</v>
      </c>
      <c r="AR14" s="373">
        <f t="shared" si="10"/>
        <v>91810.085223999995</v>
      </c>
      <c r="AS14" s="377">
        <f t="shared" si="19"/>
        <v>2921.2299843999999</v>
      </c>
      <c r="AT14" s="373">
        <f>$H$14-$M$14-AS14</f>
        <v>5367.6859484656006</v>
      </c>
      <c r="AU14" s="373">
        <f t="shared" si="11"/>
        <v>100156.45660800001</v>
      </c>
      <c r="AV14" s="377">
        <f t="shared" si="23"/>
        <v>2921.2299843999999</v>
      </c>
      <c r="AW14" s="373">
        <f>$H$14-$M$14-AV14</f>
        <v>5367.6859484656006</v>
      </c>
      <c r="AX14" s="371"/>
    </row>
    <row r="15" spans="1:50" s="233" customFormat="1" ht="30" customHeight="1" x14ac:dyDescent="0.45">
      <c r="A15" s="730" t="s">
        <v>15</v>
      </c>
      <c r="B15" s="458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24"/>
        <v>24980.1</v>
      </c>
      <c r="G15" s="233">
        <v>359</v>
      </c>
      <c r="H15" s="353">
        <f t="shared" si="21"/>
        <v>17089.100247999999</v>
      </c>
      <c r="I15" s="463">
        <v>0.67</v>
      </c>
      <c r="J15" s="362">
        <v>11900</v>
      </c>
      <c r="K15" s="361">
        <f t="shared" si="12"/>
        <v>11826.924366229863</v>
      </c>
      <c r="L15" s="390">
        <f t="shared" si="0"/>
        <v>12717.122974440712</v>
      </c>
      <c r="M15" s="372">
        <f t="shared" si="13"/>
        <v>115.15746163679999</v>
      </c>
      <c r="N15" s="373">
        <f t="shared" si="14"/>
        <v>17089.100247999999</v>
      </c>
      <c r="O15" s="374">
        <f t="shared" si="25"/>
        <v>2917.8200495999999</v>
      </c>
      <c r="P15" s="373">
        <f>$H$15-$M$15-O15</f>
        <v>14056.122736763198</v>
      </c>
      <c r="Q15" s="373">
        <f t="shared" si="15"/>
        <v>34178.200495999998</v>
      </c>
      <c r="R15" s="376">
        <f>(Q15-25000)*0.27+(25000-N15)*0.2</f>
        <v>4060.2940843199995</v>
      </c>
      <c r="S15" s="373">
        <f>$H$15-$M$15-R15</f>
        <v>12913.648702043198</v>
      </c>
      <c r="T15" s="373">
        <f t="shared" si="1"/>
        <v>51267.300743999993</v>
      </c>
      <c r="U15" s="376">
        <f>H15*0.27</f>
        <v>4614.0570669600002</v>
      </c>
      <c r="V15" s="373">
        <f>$H$15-$M$15-U15</f>
        <v>12359.885719403197</v>
      </c>
      <c r="W15" s="373">
        <f t="shared" si="2"/>
        <v>68356.400991999995</v>
      </c>
      <c r="X15" s="376">
        <f t="shared" si="3"/>
        <v>4614.0570669600002</v>
      </c>
      <c r="Y15" s="373">
        <f>$H$15-$M$15-X15</f>
        <v>12359.885719403197</v>
      </c>
      <c r="Z15" s="373">
        <f t="shared" si="4"/>
        <v>85445.501239999998</v>
      </c>
      <c r="AA15" s="376">
        <f t="shared" si="16"/>
        <v>4614.0570669600002</v>
      </c>
      <c r="AB15" s="373">
        <f>$H$15-$M$15-AA15</f>
        <v>12359.885719403197</v>
      </c>
      <c r="AC15" s="373">
        <f t="shared" si="5"/>
        <v>102534.60148799999</v>
      </c>
      <c r="AD15" s="377">
        <f>(AC15-88000)*0.35+(88000-Z15)*0.27</f>
        <v>5776.8251859999955</v>
      </c>
      <c r="AE15" s="373">
        <f>$H$15-$M$15-AD15</f>
        <v>11197.117600363203</v>
      </c>
      <c r="AF15" s="373">
        <f t="shared" si="6"/>
        <v>119623.70173599999</v>
      </c>
      <c r="AG15" s="377">
        <f>H15*0.35</f>
        <v>5981.1850867999992</v>
      </c>
      <c r="AH15" s="373">
        <f>$H$15-$M$15-AG15</f>
        <v>10992.757699563197</v>
      </c>
      <c r="AI15" s="373">
        <f t="shared" si="7"/>
        <v>136712.80198399999</v>
      </c>
      <c r="AJ15" s="377">
        <f>H15*0.35</f>
        <v>5981.1850867999992</v>
      </c>
      <c r="AK15" s="373">
        <f>$H$15-$M$15-AJ15</f>
        <v>10992.757699563197</v>
      </c>
      <c r="AL15" s="373">
        <f t="shared" si="8"/>
        <v>153801.90223199999</v>
      </c>
      <c r="AM15" s="377">
        <f>H15*0.35</f>
        <v>5981.1850867999992</v>
      </c>
      <c r="AN15" s="373">
        <f>$H$15-$M$15-AM15</f>
        <v>10992.757699563197</v>
      </c>
      <c r="AO15" s="373">
        <f t="shared" si="9"/>
        <v>170891.00248</v>
      </c>
      <c r="AP15" s="377">
        <f>H15*0.35</f>
        <v>5981.1850867999992</v>
      </c>
      <c r="AQ15" s="373">
        <f>$H$15-$M$15-AP15</f>
        <v>10992.757699563197</v>
      </c>
      <c r="AR15" s="373">
        <f t="shared" si="10"/>
        <v>187980.102728</v>
      </c>
      <c r="AS15" s="377">
        <f t="shared" si="19"/>
        <v>5981.1850867999992</v>
      </c>
      <c r="AT15" s="373">
        <f>$H$15-$M$15-AS15</f>
        <v>10992.757699563197</v>
      </c>
      <c r="AU15" s="373">
        <f t="shared" si="11"/>
        <v>205069.20297599997</v>
      </c>
      <c r="AV15" s="377">
        <f t="shared" si="23"/>
        <v>5981.1850867999992</v>
      </c>
      <c r="AW15" s="373">
        <f>$H$15-$M$15-AV15</f>
        <v>10992.757699563197</v>
      </c>
      <c r="AX15" s="371"/>
    </row>
    <row r="16" spans="1:50" s="233" customFormat="1" ht="30" customHeight="1" x14ac:dyDescent="0.45">
      <c r="A16" s="730"/>
      <c r="B16" s="458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24"/>
        <v>24980.1</v>
      </c>
      <c r="G16" s="233">
        <v>359</v>
      </c>
      <c r="H16" s="353">
        <f t="shared" si="21"/>
        <v>11141.838039999999</v>
      </c>
      <c r="I16" s="363">
        <v>0.35</v>
      </c>
      <c r="J16" s="362">
        <v>8000</v>
      </c>
      <c r="K16" s="361">
        <f t="shared" si="12"/>
        <v>8000.4558616026688</v>
      </c>
      <c r="L16" s="390">
        <f t="shared" si="0"/>
        <v>8602.6407114007179</v>
      </c>
      <c r="M16" s="372">
        <f t="shared" si="13"/>
        <v>75.905531063999987</v>
      </c>
      <c r="N16" s="373">
        <f t="shared" si="14"/>
        <v>11141.838039999999</v>
      </c>
      <c r="O16" s="374">
        <f t="shared" si="25"/>
        <v>1728.3676079999998</v>
      </c>
      <c r="P16" s="373">
        <f>$H$16-$M$16-O16</f>
        <v>9337.5649009359986</v>
      </c>
      <c r="Q16" s="373">
        <f t="shared" si="15"/>
        <v>22283.676079999997</v>
      </c>
      <c r="R16" s="374">
        <f>H16*0.2</f>
        <v>2228.367608</v>
      </c>
      <c r="S16" s="373">
        <f>$H$16-$M$16-R16</f>
        <v>8837.5649009359986</v>
      </c>
      <c r="T16" s="373">
        <f t="shared" si="1"/>
        <v>33425.514119999993</v>
      </c>
      <c r="U16" s="376">
        <f>(T16-25000)*0.27+(25000-Q16)*0.2</f>
        <v>2818.1535963999986</v>
      </c>
      <c r="V16" s="373">
        <f>$H$16-$M$16-U16</f>
        <v>8247.7789125359996</v>
      </c>
      <c r="W16" s="373">
        <f t="shared" si="2"/>
        <v>44567.352159999995</v>
      </c>
      <c r="X16" s="376">
        <f t="shared" si="3"/>
        <v>3008.2962708</v>
      </c>
      <c r="Y16" s="373">
        <f>$H$16-$M$16-X16</f>
        <v>8057.6362381359995</v>
      </c>
      <c r="Z16" s="373">
        <f t="shared" si="4"/>
        <v>55709.190199999997</v>
      </c>
      <c r="AA16" s="376">
        <f t="shared" si="16"/>
        <v>3008.2962708</v>
      </c>
      <c r="AB16" s="373">
        <f>$H$16-$M$16-AA16</f>
        <v>8057.6362381359995</v>
      </c>
      <c r="AC16" s="373">
        <f t="shared" si="5"/>
        <v>66851.028239999985</v>
      </c>
      <c r="AD16" s="376">
        <f t="shared" ref="AD16:AD26" si="27">H16*0.27</f>
        <v>3008.2962708</v>
      </c>
      <c r="AE16" s="373">
        <f>$H$16-$M$16-AD16</f>
        <v>8057.6362381359995</v>
      </c>
      <c r="AF16" s="373">
        <f t="shared" si="6"/>
        <v>77992.866279999987</v>
      </c>
      <c r="AG16" s="376">
        <f>H16*0.27</f>
        <v>3008.2962708</v>
      </c>
      <c r="AH16" s="373">
        <f>$H$16-$M$16-AG16</f>
        <v>8057.6362381359995</v>
      </c>
      <c r="AI16" s="373">
        <f t="shared" si="7"/>
        <v>89134.70431999999</v>
      </c>
      <c r="AJ16" s="377">
        <f>(AI16-88000)*0.35+(88000-AF16)*0.27</f>
        <v>3099.0726163999998</v>
      </c>
      <c r="AK16" s="373">
        <f>$H$16-$M$16-AJ16</f>
        <v>7966.8598925359993</v>
      </c>
      <c r="AL16" s="373">
        <f t="shared" si="8"/>
        <v>100276.54235999999</v>
      </c>
      <c r="AM16" s="377">
        <f>H16*0.35</f>
        <v>3899.6433139999995</v>
      </c>
      <c r="AN16" s="373">
        <f>$H$16-$M$16-AM16</f>
        <v>7166.2891949360001</v>
      </c>
      <c r="AO16" s="373">
        <f t="shared" si="9"/>
        <v>111418.38039999999</v>
      </c>
      <c r="AP16" s="377">
        <f>H16*0.35</f>
        <v>3899.6433139999995</v>
      </c>
      <c r="AQ16" s="373">
        <f>$H$16-$M$16-AP16</f>
        <v>7166.2891949360001</v>
      </c>
      <c r="AR16" s="373">
        <f t="shared" si="10"/>
        <v>122560.21843999998</v>
      </c>
      <c r="AS16" s="377">
        <f t="shared" si="19"/>
        <v>3899.6433139999995</v>
      </c>
      <c r="AT16" s="373">
        <f>$H$16-$M$16-AS16</f>
        <v>7166.2891949360001</v>
      </c>
      <c r="AU16" s="373">
        <f t="shared" si="11"/>
        <v>133702.05647999997</v>
      </c>
      <c r="AV16" s="377">
        <f t="shared" si="23"/>
        <v>3899.6433139999995</v>
      </c>
      <c r="AW16" s="373">
        <f>$H$16-$M$16-AV16</f>
        <v>7166.2891949360001</v>
      </c>
      <c r="AX16" s="371"/>
    </row>
    <row r="17" spans="1:50" s="233" customFormat="1" ht="30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24"/>
        <v>24980.1</v>
      </c>
      <c r="G17" s="233">
        <v>359</v>
      </c>
      <c r="H17" s="353">
        <f t="shared" si="21"/>
        <v>9283.3185999999987</v>
      </c>
      <c r="I17" s="363">
        <v>0.25</v>
      </c>
      <c r="J17" s="362">
        <v>6804</v>
      </c>
      <c r="K17" s="361">
        <f t="shared" si="12"/>
        <v>6804.684453906666</v>
      </c>
      <c r="L17" s="390">
        <f t="shared" si="0"/>
        <v>7316.8650042007157</v>
      </c>
      <c r="M17" s="372">
        <f t="shared" si="13"/>
        <v>63.639302759999993</v>
      </c>
      <c r="N17" s="373">
        <f t="shared" si="14"/>
        <v>9283.3185999999987</v>
      </c>
      <c r="O17" s="378">
        <f>N17*0.15</f>
        <v>1392.4977899999997</v>
      </c>
      <c r="P17" s="373">
        <f>$H$17-$M$17-O17</f>
        <v>7827.1815072399986</v>
      </c>
      <c r="Q17" s="373">
        <f t="shared" si="15"/>
        <v>18566.637199999997</v>
      </c>
      <c r="R17" s="374">
        <f>(Q17-10000)*0.2+(10000-N17)*0.15</f>
        <v>1820.8296499999997</v>
      </c>
      <c r="S17" s="373">
        <f>$H$17-$M$17-R17</f>
        <v>7398.8496472399984</v>
      </c>
      <c r="T17" s="373">
        <f t="shared" si="1"/>
        <v>27849.955799999996</v>
      </c>
      <c r="U17" s="376">
        <f>(T17-25000)*0.27+(25000-Q17)*0.2</f>
        <v>2056.1606259999999</v>
      </c>
      <c r="V17" s="373">
        <f>$H$17-$M$17-U17</f>
        <v>7163.5186712399982</v>
      </c>
      <c r="W17" s="373">
        <f t="shared" si="2"/>
        <v>37133.274399999995</v>
      </c>
      <c r="X17" s="376">
        <f t="shared" si="3"/>
        <v>2506.4960219999998</v>
      </c>
      <c r="Y17" s="373">
        <f>$H$17-$M$17-X17</f>
        <v>6713.1832752399987</v>
      </c>
      <c r="Z17" s="373">
        <f t="shared" si="4"/>
        <v>46416.592999999993</v>
      </c>
      <c r="AA17" s="376">
        <f t="shared" si="16"/>
        <v>2506.4960219999998</v>
      </c>
      <c r="AB17" s="373">
        <f>$H$17-$M$17-AA17</f>
        <v>6713.1832752399987</v>
      </c>
      <c r="AC17" s="373">
        <f t="shared" si="5"/>
        <v>55699.911599999992</v>
      </c>
      <c r="AD17" s="376">
        <f t="shared" si="27"/>
        <v>2506.4960219999998</v>
      </c>
      <c r="AE17" s="373">
        <f>$H$17-$M$17-AD17</f>
        <v>6713.1832752399987</v>
      </c>
      <c r="AF17" s="373">
        <f t="shared" si="6"/>
        <v>64983.230199999991</v>
      </c>
      <c r="AG17" s="376">
        <f>H17*0.27</f>
        <v>2506.4960219999998</v>
      </c>
      <c r="AH17" s="373">
        <f>$H$17-$M$17-AG17</f>
        <v>6713.1832752399987</v>
      </c>
      <c r="AI17" s="373">
        <f t="shared" si="7"/>
        <v>74266.54879999999</v>
      </c>
      <c r="AJ17" s="376">
        <f>H17*0.27</f>
        <v>2506.4960219999998</v>
      </c>
      <c r="AK17" s="373">
        <f>$H$17-$M$17-AJ17</f>
        <v>6713.1832752399987</v>
      </c>
      <c r="AL17" s="373">
        <f t="shared" si="8"/>
        <v>83549.867399999988</v>
      </c>
      <c r="AM17" s="376">
        <f>H17*0.27</f>
        <v>2506.4960219999998</v>
      </c>
      <c r="AN17" s="373">
        <f>$H$17-$M$17-AM17</f>
        <v>6713.1832752399987</v>
      </c>
      <c r="AO17" s="373">
        <f t="shared" si="9"/>
        <v>92833.185999999987</v>
      </c>
      <c r="AP17" s="377">
        <f>(AO17-88000)*0.35+(88000-AL17)*0.27</f>
        <v>2893.1509019999985</v>
      </c>
      <c r="AQ17" s="373">
        <f>$H$17-$M$17-AP17</f>
        <v>6326.5283952399996</v>
      </c>
      <c r="AR17" s="373">
        <f t="shared" si="10"/>
        <v>102116.50459999999</v>
      </c>
      <c r="AS17" s="377">
        <f t="shared" si="19"/>
        <v>3249.1615099999995</v>
      </c>
      <c r="AT17" s="373">
        <f>$H$17-$M$17-AS17</f>
        <v>5970.5177872399981</v>
      </c>
      <c r="AU17" s="373">
        <f t="shared" si="11"/>
        <v>111399.82319999998</v>
      </c>
      <c r="AV17" s="377">
        <f t="shared" si="23"/>
        <v>3249.1615099999995</v>
      </c>
      <c r="AW17" s="373">
        <f>$H$17-$M$17-AV17</f>
        <v>5970.5177872399981</v>
      </c>
      <c r="AX17" s="371"/>
    </row>
    <row r="18" spans="1:50" s="233" customFormat="1" ht="30" customHeight="1" x14ac:dyDescent="0.45">
      <c r="A18" s="730"/>
      <c r="B18" s="458" t="s">
        <v>32</v>
      </c>
      <c r="C18" s="231">
        <v>450</v>
      </c>
      <c r="D18" s="234">
        <v>4996.0199999999995</v>
      </c>
      <c r="E18" s="234">
        <v>14988.06</v>
      </c>
      <c r="F18" s="234">
        <f t="shared" si="24"/>
        <v>19984.079999999998</v>
      </c>
      <c r="G18" s="233">
        <v>359</v>
      </c>
      <c r="H18" s="353">
        <f t="shared" si="21"/>
        <v>13418.524354000001</v>
      </c>
      <c r="I18" s="463">
        <v>0.63</v>
      </c>
      <c r="J18" s="362">
        <v>9500</v>
      </c>
      <c r="K18" s="361">
        <f t="shared" si="12"/>
        <v>9465.2758360302669</v>
      </c>
      <c r="L18" s="390">
        <f t="shared" si="0"/>
        <v>10177.715952720717</v>
      </c>
      <c r="M18" s="372">
        <f t="shared" si="13"/>
        <v>90.931660736400005</v>
      </c>
      <c r="N18" s="373">
        <f t="shared" si="14"/>
        <v>13418.524354000001</v>
      </c>
      <c r="O18" s="374">
        <f t="shared" si="25"/>
        <v>2183.7048708000002</v>
      </c>
      <c r="P18" s="373">
        <f>$H$18-$M$18-O18</f>
        <v>11143.887822463601</v>
      </c>
      <c r="Q18" s="373">
        <f t="shared" si="15"/>
        <v>26837.048708000002</v>
      </c>
      <c r="R18" s="376">
        <f>(Q18-25000)*0.27+(25000-N18)*0.2</f>
        <v>2812.2982803600003</v>
      </c>
      <c r="S18" s="373">
        <f>$H$18-$M$18-R18</f>
        <v>10515.2944129036</v>
      </c>
      <c r="T18" s="373">
        <f t="shared" si="1"/>
        <v>40255.573062000003</v>
      </c>
      <c r="U18" s="376">
        <f>H18*0.27</f>
        <v>3623.0015755800005</v>
      </c>
      <c r="V18" s="373">
        <f>$H$18-$M$18-U18</f>
        <v>9704.5911176836016</v>
      </c>
      <c r="W18" s="373">
        <f t="shared" si="2"/>
        <v>53674.097416000004</v>
      </c>
      <c r="X18" s="376">
        <f t="shared" si="3"/>
        <v>3623.0015755800005</v>
      </c>
      <c r="Y18" s="373">
        <f>$H$18-$M$18-X18</f>
        <v>9704.5911176836016</v>
      </c>
      <c r="Z18" s="373">
        <f t="shared" si="4"/>
        <v>67092.621769999998</v>
      </c>
      <c r="AA18" s="376">
        <f t="shared" si="16"/>
        <v>3623.0015755800005</v>
      </c>
      <c r="AB18" s="373">
        <f>$H$18-$M$18-AA18</f>
        <v>9704.5911176836016</v>
      </c>
      <c r="AC18" s="373">
        <f t="shared" si="5"/>
        <v>80511.146124000006</v>
      </c>
      <c r="AD18" s="376">
        <f t="shared" si="27"/>
        <v>3623.0015755800005</v>
      </c>
      <c r="AE18" s="373">
        <f>$H$18-$M$18-AD18</f>
        <v>9704.5911176836016</v>
      </c>
      <c r="AF18" s="373">
        <f t="shared" si="6"/>
        <v>93929.670478000015</v>
      </c>
      <c r="AG18" s="377">
        <f>(AF18-88000)*0.35+(88000-AC18)*0.27</f>
        <v>4097.3752138200034</v>
      </c>
      <c r="AH18" s="373">
        <f>$H$18-$M$18-AG18</f>
        <v>9230.2174794435978</v>
      </c>
      <c r="AI18" s="373">
        <f t="shared" si="7"/>
        <v>107348.19483200001</v>
      </c>
      <c r="AJ18" s="377">
        <f>H18*0.35</f>
        <v>4696.4835239000004</v>
      </c>
      <c r="AK18" s="373">
        <f>$H$18-$M$18-AJ18</f>
        <v>8631.1091693636008</v>
      </c>
      <c r="AL18" s="373">
        <f t="shared" si="8"/>
        <v>120766.719186</v>
      </c>
      <c r="AM18" s="377">
        <f>H18*0.35</f>
        <v>4696.4835239000004</v>
      </c>
      <c r="AN18" s="373">
        <f>$H$18-$M$18-AM18</f>
        <v>8631.1091693636008</v>
      </c>
      <c r="AO18" s="373">
        <f t="shared" si="9"/>
        <v>134185.24354</v>
      </c>
      <c r="AP18" s="377">
        <f>H18*0.35</f>
        <v>4696.4835239000004</v>
      </c>
      <c r="AQ18" s="373">
        <f>$H$18-$M$18-AP18</f>
        <v>8631.1091693636008</v>
      </c>
      <c r="AR18" s="373">
        <f t="shared" si="10"/>
        <v>147603.76789400002</v>
      </c>
      <c r="AS18" s="377">
        <f t="shared" si="19"/>
        <v>4696.4835239000004</v>
      </c>
      <c r="AT18" s="373">
        <f>$H$18-$M$18-AS18</f>
        <v>8631.1091693636008</v>
      </c>
      <c r="AU18" s="373">
        <f t="shared" si="11"/>
        <v>161022.29224800001</v>
      </c>
      <c r="AV18" s="377">
        <f t="shared" si="23"/>
        <v>4696.4835239000004</v>
      </c>
      <c r="AW18" s="373">
        <f>$H$18-$M$18-AV18</f>
        <v>8631.1091693636008</v>
      </c>
      <c r="AX18" s="371"/>
    </row>
    <row r="19" spans="1:50" s="233" customFormat="1" ht="30" customHeight="1" x14ac:dyDescent="0.45">
      <c r="A19" s="730"/>
      <c r="B19" s="458" t="s">
        <v>237</v>
      </c>
      <c r="C19" s="231">
        <v>450</v>
      </c>
      <c r="D19" s="234">
        <v>4996.0199999999995</v>
      </c>
      <c r="E19" s="234">
        <v>14988.06</v>
      </c>
      <c r="F19" s="234">
        <f t="shared" si="24"/>
        <v>19984.079999999998</v>
      </c>
      <c r="G19" s="233">
        <v>359</v>
      </c>
      <c r="H19" s="353">
        <f t="shared" si="21"/>
        <v>11606.4679</v>
      </c>
      <c r="I19" s="463">
        <v>0.5</v>
      </c>
      <c r="J19" s="362">
        <v>8300</v>
      </c>
      <c r="K19" s="361">
        <f t="shared" si="12"/>
        <v>8299.3987135266634</v>
      </c>
      <c r="L19" s="390">
        <f t="shared" si="0"/>
        <v>8924.084638200713</v>
      </c>
      <c r="M19" s="372">
        <f t="shared" si="13"/>
        <v>78.972088139999997</v>
      </c>
      <c r="N19" s="373">
        <f t="shared" si="14"/>
        <v>11606.4679</v>
      </c>
      <c r="O19" s="374">
        <f t="shared" si="25"/>
        <v>1821.29358</v>
      </c>
      <c r="P19" s="373">
        <f>$H$19-$M$19-O19</f>
        <v>9706.2022318599993</v>
      </c>
      <c r="Q19" s="373">
        <f t="shared" si="15"/>
        <v>23212.935799999999</v>
      </c>
      <c r="R19" s="374">
        <f>H19*0.2</f>
        <v>2321.29358</v>
      </c>
      <c r="S19" s="373">
        <f>$H$19-$M$19-R19</f>
        <v>9206.2022318599993</v>
      </c>
      <c r="T19" s="373">
        <f t="shared" si="1"/>
        <v>34819.403699999995</v>
      </c>
      <c r="U19" s="376">
        <f>(T19-25000)*0.27+(25000-Q19)*0.2</f>
        <v>3008.6518389999992</v>
      </c>
      <c r="V19" s="373">
        <f>$H$19-$M$19-U19</f>
        <v>8518.8439728599988</v>
      </c>
      <c r="W19" s="373">
        <f t="shared" si="2"/>
        <v>46425.871599999999</v>
      </c>
      <c r="X19" s="376">
        <f t="shared" si="3"/>
        <v>3133.746333</v>
      </c>
      <c r="Y19" s="373">
        <f>$H$19-$M$19-X19</f>
        <v>8393.7494788599979</v>
      </c>
      <c r="Z19" s="373">
        <f t="shared" si="4"/>
        <v>58032.339500000002</v>
      </c>
      <c r="AA19" s="376">
        <f t="shared" si="16"/>
        <v>3133.746333</v>
      </c>
      <c r="AB19" s="373">
        <f>$H$19-$M$19-AA19</f>
        <v>8393.7494788599979</v>
      </c>
      <c r="AC19" s="373">
        <f t="shared" si="5"/>
        <v>69638.807399999991</v>
      </c>
      <c r="AD19" s="376">
        <f t="shared" si="27"/>
        <v>3133.746333</v>
      </c>
      <c r="AE19" s="373">
        <f>$H$19-$M$19-AD19</f>
        <v>8393.7494788599979</v>
      </c>
      <c r="AF19" s="373">
        <f t="shared" si="6"/>
        <v>81245.275299999994</v>
      </c>
      <c r="AG19" s="376">
        <f t="shared" ref="AG19:AG26" si="28">H19*0.27</f>
        <v>3133.746333</v>
      </c>
      <c r="AH19" s="373">
        <f>$H$19-$M$19-AG19</f>
        <v>8393.7494788599979</v>
      </c>
      <c r="AI19" s="373">
        <f t="shared" si="7"/>
        <v>92851.743199999997</v>
      </c>
      <c r="AJ19" s="377">
        <f>(AI19-88000)*0.35+(88000-AF19)*0.27</f>
        <v>3521.8857890000008</v>
      </c>
      <c r="AK19" s="373">
        <f>$H$19-$M$19-AJ19</f>
        <v>8005.610022859998</v>
      </c>
      <c r="AL19" s="373">
        <f t="shared" si="8"/>
        <v>104458.2111</v>
      </c>
      <c r="AM19" s="377">
        <f>H19*0.35</f>
        <v>4062.2637649999997</v>
      </c>
      <c r="AN19" s="373">
        <f>$H$19-$M$19-AM19</f>
        <v>7465.2320468599992</v>
      </c>
      <c r="AO19" s="373">
        <f t="shared" si="9"/>
        <v>116064.679</v>
      </c>
      <c r="AP19" s="377">
        <f>H19*0.35</f>
        <v>4062.2637649999997</v>
      </c>
      <c r="AQ19" s="373">
        <f>$H$19-$M$19-AP19</f>
        <v>7465.2320468599992</v>
      </c>
      <c r="AR19" s="373">
        <f t="shared" si="10"/>
        <v>127671.14689999999</v>
      </c>
      <c r="AS19" s="377">
        <f t="shared" si="19"/>
        <v>4062.2637649999997</v>
      </c>
      <c r="AT19" s="373">
        <f>$H$19-$M$19-AS19</f>
        <v>7465.2320468599992</v>
      </c>
      <c r="AU19" s="373">
        <f t="shared" si="11"/>
        <v>139277.61479999998</v>
      </c>
      <c r="AV19" s="377">
        <f t="shared" si="23"/>
        <v>4062.2637649999997</v>
      </c>
      <c r="AW19" s="373">
        <f>$H$19-$M$19-AV19</f>
        <v>7465.2320468599992</v>
      </c>
      <c r="AX19" s="371"/>
    </row>
    <row r="20" spans="1:50" s="233" customFormat="1" ht="30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21"/>
        <v>10026.726375999999</v>
      </c>
      <c r="I20" s="463">
        <v>0.57999999999999996</v>
      </c>
      <c r="J20" s="362">
        <v>7300</v>
      </c>
      <c r="K20" s="361">
        <f t="shared" si="12"/>
        <v>7282.9930169850659</v>
      </c>
      <c r="L20" s="390">
        <f t="shared" si="0"/>
        <v>7831.1752870807159</v>
      </c>
      <c r="M20" s="372">
        <f t="shared" si="13"/>
        <v>68.545794081599993</v>
      </c>
      <c r="N20" s="373">
        <f t="shared" si="14"/>
        <v>10026.726375999999</v>
      </c>
      <c r="O20" s="374">
        <f t="shared" si="25"/>
        <v>1505.3452751999998</v>
      </c>
      <c r="P20" s="373">
        <f>$H$20-$M$20-O20</f>
        <v>8452.8353067183998</v>
      </c>
      <c r="Q20" s="373">
        <f t="shared" si="15"/>
        <v>20053.452751999997</v>
      </c>
      <c r="R20" s="374">
        <f>H20*0.2</f>
        <v>2005.3452751999998</v>
      </c>
      <c r="S20" s="373">
        <f>$H$20-$M$20-R20</f>
        <v>7952.8353067183998</v>
      </c>
      <c r="T20" s="373">
        <f t="shared" si="1"/>
        <v>30080.179127999996</v>
      </c>
      <c r="U20" s="376">
        <f>(T20-25000)*0.27+(25000-Q20)*0.2</f>
        <v>2360.9578141599995</v>
      </c>
      <c r="V20" s="373">
        <f>$H$20-$M$20-U20</f>
        <v>7597.2227677583996</v>
      </c>
      <c r="W20" s="373">
        <f t="shared" si="2"/>
        <v>40106.905503999995</v>
      </c>
      <c r="X20" s="376">
        <f t="shared" si="3"/>
        <v>2707.2161215199999</v>
      </c>
      <c r="Y20" s="373">
        <f>$H$20-$M$20-X20</f>
        <v>7250.9644603983998</v>
      </c>
      <c r="Z20" s="373">
        <f t="shared" si="4"/>
        <v>50133.631879999994</v>
      </c>
      <c r="AA20" s="376">
        <f t="shared" si="16"/>
        <v>2707.2161215199999</v>
      </c>
      <c r="AB20" s="373">
        <f>$H$20-$M$20-AA20</f>
        <v>7250.9644603983998</v>
      </c>
      <c r="AC20" s="373">
        <f t="shared" si="5"/>
        <v>60160.358255999992</v>
      </c>
      <c r="AD20" s="376">
        <f t="shared" si="27"/>
        <v>2707.2161215199999</v>
      </c>
      <c r="AE20" s="373">
        <f>$H$20-$M$20-AD20</f>
        <v>7250.9644603983998</v>
      </c>
      <c r="AF20" s="373">
        <f t="shared" si="6"/>
        <v>70187.084631999984</v>
      </c>
      <c r="AG20" s="376">
        <f t="shared" si="28"/>
        <v>2707.2161215199999</v>
      </c>
      <c r="AH20" s="373">
        <f>$H$20-$M$20-AG20</f>
        <v>7250.9644603983998</v>
      </c>
      <c r="AI20" s="373">
        <f t="shared" si="7"/>
        <v>80213.81100799999</v>
      </c>
      <c r="AJ20" s="376">
        <f t="shared" ref="AJ20:AJ27" si="29">H20*0.27</f>
        <v>2707.2161215199999</v>
      </c>
      <c r="AK20" s="373">
        <f>$H$20-$M$20-AJ20</f>
        <v>7250.9644603983998</v>
      </c>
      <c r="AL20" s="373">
        <f t="shared" si="8"/>
        <v>90240.537383999996</v>
      </c>
      <c r="AM20" s="377">
        <f>(AL20-88000)*0.35+(88000-AI20)*0.27</f>
        <v>2886.4591122400011</v>
      </c>
      <c r="AN20" s="373">
        <f>$H$20-$M$20-AM20</f>
        <v>7071.7214696783976</v>
      </c>
      <c r="AO20" s="373">
        <f t="shared" si="9"/>
        <v>100267.26375999999</v>
      </c>
      <c r="AP20" s="377">
        <f>H20*0.35</f>
        <v>3509.3542315999994</v>
      </c>
      <c r="AQ20" s="373">
        <f>$H$20-$M$20-AP20</f>
        <v>6448.8263503183998</v>
      </c>
      <c r="AR20" s="373">
        <f t="shared" si="10"/>
        <v>110293.99013599998</v>
      </c>
      <c r="AS20" s="377">
        <f t="shared" si="19"/>
        <v>3509.3542315999994</v>
      </c>
      <c r="AT20" s="373">
        <f>$H$20-$M$20-AS20</f>
        <v>6448.8263503183998</v>
      </c>
      <c r="AU20" s="373">
        <f t="shared" si="11"/>
        <v>120320.71651199998</v>
      </c>
      <c r="AV20" s="377">
        <f t="shared" si="23"/>
        <v>3509.3542315999994</v>
      </c>
      <c r="AW20" s="373">
        <f>$H$20-$M$20-AV20</f>
        <v>6448.8263503183998</v>
      </c>
      <c r="AX20" s="371"/>
    </row>
    <row r="21" spans="1:50" s="233" customFormat="1" ht="30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21"/>
        <v>9747.9484599999996</v>
      </c>
      <c r="I21" s="363">
        <v>0.55000000000000004</v>
      </c>
      <c r="J21" s="362">
        <v>7100</v>
      </c>
      <c r="K21" s="361">
        <f t="shared" si="12"/>
        <v>7103.627305830666</v>
      </c>
      <c r="L21" s="390">
        <f t="shared" si="0"/>
        <v>7638.3089310007153</v>
      </c>
      <c r="M21" s="372">
        <f t="shared" si="13"/>
        <v>66.705859836000002</v>
      </c>
      <c r="N21" s="373">
        <f t="shared" si="14"/>
        <v>9747.9484599999996</v>
      </c>
      <c r="O21" s="378">
        <f>N21*0.15</f>
        <v>1462.1922689999999</v>
      </c>
      <c r="P21" s="373">
        <f>$H$21-$M$21-O21</f>
        <v>8219.0503311640005</v>
      </c>
      <c r="Q21" s="373">
        <f t="shared" si="15"/>
        <v>19495.896919999999</v>
      </c>
      <c r="R21" s="374">
        <f>(Q21-10000)*0.2+(10000-N21)*0.15</f>
        <v>1936.9871150000001</v>
      </c>
      <c r="S21" s="373">
        <f>$H$21-$M$21-R21</f>
        <v>7744.2554851639998</v>
      </c>
      <c r="T21" s="373">
        <f t="shared" si="1"/>
        <v>29243.845379999999</v>
      </c>
      <c r="U21" s="376">
        <f>(T21-25000)*0.27+(25000-Q21)*0.2</f>
        <v>2246.6588686</v>
      </c>
      <c r="V21" s="373">
        <f>$H$21-$M$21-U21</f>
        <v>7434.5837315640001</v>
      </c>
      <c r="W21" s="373">
        <f t="shared" si="2"/>
        <v>38991.793839999998</v>
      </c>
      <c r="X21" s="376">
        <f t="shared" si="3"/>
        <v>2631.9460841999999</v>
      </c>
      <c r="Y21" s="373">
        <f>$H$21-$M$21-X21</f>
        <v>7049.2965159639998</v>
      </c>
      <c r="Z21" s="373">
        <f t="shared" si="4"/>
        <v>48739.742299999998</v>
      </c>
      <c r="AA21" s="376">
        <f t="shared" si="16"/>
        <v>2631.9460841999999</v>
      </c>
      <c r="AB21" s="373">
        <f>$H$21-$M$21-AA21</f>
        <v>7049.2965159639998</v>
      </c>
      <c r="AC21" s="373">
        <f t="shared" si="5"/>
        <v>58487.690759999998</v>
      </c>
      <c r="AD21" s="376">
        <f t="shared" si="27"/>
        <v>2631.9460841999999</v>
      </c>
      <c r="AE21" s="373">
        <f>$H$21-$M$21-AD21</f>
        <v>7049.2965159639998</v>
      </c>
      <c r="AF21" s="373">
        <f t="shared" si="6"/>
        <v>68235.639219999997</v>
      </c>
      <c r="AG21" s="376">
        <f t="shared" si="28"/>
        <v>2631.9460841999999</v>
      </c>
      <c r="AH21" s="373">
        <f>$H$21-$M$21-AG21</f>
        <v>7049.2965159639998</v>
      </c>
      <c r="AI21" s="373">
        <f t="shared" si="7"/>
        <v>77983.587679999997</v>
      </c>
      <c r="AJ21" s="376">
        <f t="shared" si="29"/>
        <v>2631.9460841999999</v>
      </c>
      <c r="AK21" s="373">
        <f>$H$21-$M$21-AJ21</f>
        <v>7049.2965159639998</v>
      </c>
      <c r="AL21" s="373">
        <f t="shared" si="8"/>
        <v>87731.536139999997</v>
      </c>
      <c r="AM21" s="376">
        <f>H21*0.27</f>
        <v>2631.9460841999999</v>
      </c>
      <c r="AN21" s="373">
        <f>$H$21-$M$21-AM21</f>
        <v>7049.2965159639998</v>
      </c>
      <c r="AO21" s="373">
        <f t="shared" si="9"/>
        <v>97479.484599999996</v>
      </c>
      <c r="AP21" s="377">
        <f>(AO21-88000)*0.35+(88000-AL21)*0.27</f>
        <v>3390.3048521999995</v>
      </c>
      <c r="AQ21" s="373">
        <f>$H$21-$M$21-AP21</f>
        <v>6290.9377479640007</v>
      </c>
      <c r="AR21" s="373">
        <f t="shared" si="10"/>
        <v>107227.43306</v>
      </c>
      <c r="AS21" s="377">
        <f t="shared" si="19"/>
        <v>3411.7819609999997</v>
      </c>
      <c r="AT21" s="373">
        <f>$H$21-$M$21-AS21</f>
        <v>6269.460639164</v>
      </c>
      <c r="AU21" s="373">
        <f t="shared" si="11"/>
        <v>116975.38152</v>
      </c>
      <c r="AV21" s="377">
        <f t="shared" si="23"/>
        <v>3411.7819609999997</v>
      </c>
      <c r="AW21" s="373">
        <f>$H$21-$M$21-AV21</f>
        <v>6269.460639164</v>
      </c>
      <c r="AX21" s="371"/>
    </row>
    <row r="22" spans="1:50" s="233" customFormat="1" ht="30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21"/>
        <v>9376.2445719999996</v>
      </c>
      <c r="I22" s="463">
        <v>0.51</v>
      </c>
      <c r="J22" s="362">
        <v>6900</v>
      </c>
      <c r="K22" s="361">
        <f t="shared" si="12"/>
        <v>6864.4730242914638</v>
      </c>
      <c r="L22" s="390">
        <f t="shared" si="0"/>
        <v>7381.1537895607134</v>
      </c>
      <c r="M22" s="372">
        <f t="shared" si="13"/>
        <v>64.252614175199994</v>
      </c>
      <c r="N22" s="373">
        <f t="shared" si="14"/>
        <v>9376.2445719999996</v>
      </c>
      <c r="O22" s="378">
        <f>N22*0.15</f>
        <v>1406.4366857999999</v>
      </c>
      <c r="P22" s="373">
        <f>$H$22-$M$22-O22</f>
        <v>7905.5552720247997</v>
      </c>
      <c r="Q22" s="373">
        <f t="shared" si="15"/>
        <v>18752.489143999999</v>
      </c>
      <c r="R22" s="374">
        <f>(Q22-10000)*0.2+(10000-N22)*0.15</f>
        <v>1844.0611430000001</v>
      </c>
      <c r="S22" s="373">
        <f>$H$22-$M$22-R22</f>
        <v>7467.9308148247992</v>
      </c>
      <c r="T22" s="373">
        <f t="shared" si="1"/>
        <v>28128.733715999999</v>
      </c>
      <c r="U22" s="376">
        <f>(T22-25000)*0.27+(25000-Q22)*0.2</f>
        <v>2094.2602745200002</v>
      </c>
      <c r="V22" s="373">
        <f>$H$22-$M$22-U22</f>
        <v>7217.7316833047989</v>
      </c>
      <c r="W22" s="373">
        <f t="shared" si="2"/>
        <v>37504.978287999998</v>
      </c>
      <c r="X22" s="376">
        <f t="shared" si="3"/>
        <v>2531.5860344400003</v>
      </c>
      <c r="Y22" s="373">
        <f>$H$22-$M$22-X22</f>
        <v>6780.4059233847984</v>
      </c>
      <c r="Z22" s="373">
        <f t="shared" si="4"/>
        <v>46881.222859999994</v>
      </c>
      <c r="AA22" s="376">
        <f t="shared" si="16"/>
        <v>2531.5860344400003</v>
      </c>
      <c r="AB22" s="373">
        <f>$H$22-$M$22-AA22</f>
        <v>6780.4059233847984</v>
      </c>
      <c r="AC22" s="373">
        <f t="shared" si="5"/>
        <v>56257.467431999998</v>
      </c>
      <c r="AD22" s="376">
        <f t="shared" si="27"/>
        <v>2531.5860344400003</v>
      </c>
      <c r="AE22" s="373">
        <f>$H$22-$M$22-AD22</f>
        <v>6780.4059233847984</v>
      </c>
      <c r="AF22" s="373">
        <f t="shared" si="6"/>
        <v>65633.712004000001</v>
      </c>
      <c r="AG22" s="376">
        <f t="shared" si="28"/>
        <v>2531.5860344400003</v>
      </c>
      <c r="AH22" s="373">
        <f>$H$22-$M$22-AG22</f>
        <v>6780.4059233847984</v>
      </c>
      <c r="AI22" s="373">
        <f t="shared" si="7"/>
        <v>75009.956575999997</v>
      </c>
      <c r="AJ22" s="376">
        <f t="shared" si="29"/>
        <v>2531.5860344400003</v>
      </c>
      <c r="AK22" s="373">
        <f>$H$22-$M$22-AJ22</f>
        <v>6780.4059233847984</v>
      </c>
      <c r="AL22" s="373">
        <f t="shared" si="8"/>
        <v>84386.201147999993</v>
      </c>
      <c r="AM22" s="377">
        <f>(AL22-88000)*0.35+(88000-AI22)*0.27</f>
        <v>2242.4821262799987</v>
      </c>
      <c r="AN22" s="373">
        <f>$H$22-$M$22-AM22</f>
        <v>7069.5098315448004</v>
      </c>
      <c r="AO22" s="373">
        <f t="shared" si="9"/>
        <v>93762.445719999989</v>
      </c>
      <c r="AP22" s="377">
        <f>H22*0.35</f>
        <v>3281.6856001999995</v>
      </c>
      <c r="AQ22" s="373">
        <f>$H$22-$M$22-AP22</f>
        <v>6030.3063576247996</v>
      </c>
      <c r="AR22" s="373">
        <f t="shared" si="10"/>
        <v>103138.690292</v>
      </c>
      <c r="AS22" s="377">
        <f t="shared" si="19"/>
        <v>3281.6856001999995</v>
      </c>
      <c r="AT22" s="373">
        <f>$H$22-$M$22-AS22</f>
        <v>6030.3063576247996</v>
      </c>
      <c r="AU22" s="373">
        <f t="shared" si="11"/>
        <v>112514.934864</v>
      </c>
      <c r="AV22" s="377">
        <f t="shared" si="23"/>
        <v>3281.6856001999995</v>
      </c>
      <c r="AW22" s="373">
        <f>$H$22-$M$22-AV22</f>
        <v>6030.3063576247996</v>
      </c>
      <c r="AX22" s="371"/>
    </row>
    <row r="23" spans="1:50" s="233" customFormat="1" ht="30" customHeight="1" x14ac:dyDescent="0.45">
      <c r="A23" s="730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21"/>
        <v>6309.6874959999996</v>
      </c>
      <c r="I23" s="464">
        <v>0.18</v>
      </c>
      <c r="J23" s="362">
        <v>4900</v>
      </c>
      <c r="K23" s="361">
        <f t="shared" si="12"/>
        <v>4809.5585346064008</v>
      </c>
      <c r="L23" s="390">
        <f t="shared" si="0"/>
        <v>5171.5683167810757</v>
      </c>
      <c r="M23" s="372">
        <f t="shared" si="13"/>
        <v>44.013337473599996</v>
      </c>
      <c r="N23" s="373">
        <f t="shared" si="14"/>
        <v>6309.6874959999996</v>
      </c>
      <c r="O23" s="378">
        <f>N23*0.15</f>
        <v>946.45312439999987</v>
      </c>
      <c r="P23" s="373">
        <f>$H$23-$M$23-O23</f>
        <v>5319.2210341263999</v>
      </c>
      <c r="Q23" s="373">
        <f t="shared" si="15"/>
        <v>12619.374991999999</v>
      </c>
      <c r="R23" s="374">
        <f>(Q23-10000)*0.2+(10000-N23)*0.15</f>
        <v>1077.4218739999999</v>
      </c>
      <c r="S23" s="373">
        <f>$H$23-$M$23-R23</f>
        <v>5188.2522845264002</v>
      </c>
      <c r="T23" s="373">
        <f t="shared" si="1"/>
        <v>18929.062488</v>
      </c>
      <c r="U23" s="376">
        <f>H23*0.2</f>
        <v>1261.9374992</v>
      </c>
      <c r="V23" s="373">
        <f>$H$23-$M$23-U23</f>
        <v>5003.7366593263996</v>
      </c>
      <c r="W23" s="373">
        <f t="shared" si="2"/>
        <v>25238.749983999998</v>
      </c>
      <c r="X23" s="376">
        <f>(W23-25000)*0.27+(25000-T23)*0.2</f>
        <v>1278.6499980799997</v>
      </c>
      <c r="Y23" s="373">
        <f>$H$23-$M$23-X23</f>
        <v>4987.0241604463999</v>
      </c>
      <c r="Z23" s="373">
        <f t="shared" si="4"/>
        <v>31548.437479999997</v>
      </c>
      <c r="AA23" s="376">
        <f t="shared" si="16"/>
        <v>1703.61562392</v>
      </c>
      <c r="AB23" s="373">
        <f>$H$23-$M$23-AA23</f>
        <v>4562.0585346063999</v>
      </c>
      <c r="AC23" s="373">
        <f t="shared" si="5"/>
        <v>37858.124975999999</v>
      </c>
      <c r="AD23" s="376">
        <f t="shared" si="27"/>
        <v>1703.61562392</v>
      </c>
      <c r="AE23" s="373">
        <f>$H$23-$M$23-AD23</f>
        <v>4562.0585346063999</v>
      </c>
      <c r="AF23" s="373">
        <f t="shared" si="6"/>
        <v>44167.812471999998</v>
      </c>
      <c r="AG23" s="376">
        <f t="shared" si="28"/>
        <v>1703.61562392</v>
      </c>
      <c r="AH23" s="373">
        <f>$H$23-$M$23-AG23</f>
        <v>4562.0585346063999</v>
      </c>
      <c r="AI23" s="373">
        <f t="shared" si="7"/>
        <v>50477.499967999996</v>
      </c>
      <c r="AJ23" s="376">
        <f t="shared" si="29"/>
        <v>1703.61562392</v>
      </c>
      <c r="AK23" s="373">
        <f>$H$23-$M$23-AJ23</f>
        <v>4562.0585346063999</v>
      </c>
      <c r="AL23" s="373">
        <f t="shared" si="8"/>
        <v>56787.187463999995</v>
      </c>
      <c r="AM23" s="376">
        <f>H23*0.27</f>
        <v>1703.61562392</v>
      </c>
      <c r="AN23" s="373">
        <f>$H$23-$M$23-AM23</f>
        <v>4562.0585346063999</v>
      </c>
      <c r="AO23" s="373">
        <f t="shared" si="9"/>
        <v>63096.874959999994</v>
      </c>
      <c r="AP23" s="376">
        <f>H23*0.27</f>
        <v>1703.61562392</v>
      </c>
      <c r="AQ23" s="373">
        <f>$H$23-$M$23-AP23</f>
        <v>4562.0585346063999</v>
      </c>
      <c r="AR23" s="373">
        <f t="shared" si="10"/>
        <v>69406.562456</v>
      </c>
      <c r="AS23" s="376">
        <f>H23*0.27</f>
        <v>1703.61562392</v>
      </c>
      <c r="AT23" s="373">
        <f>$H$23-$M$23-AS23</f>
        <v>4562.0585346063999</v>
      </c>
      <c r="AU23" s="373">
        <f t="shared" si="11"/>
        <v>75716.249951999998</v>
      </c>
      <c r="AV23" s="376">
        <f t="shared" ref="AV23:AV27" si="30">H23*0.27</f>
        <v>1703.61562392</v>
      </c>
      <c r="AW23" s="373">
        <f>$H$23-$M$23-AV23</f>
        <v>4562.0585346063999</v>
      </c>
      <c r="AX23" s="371"/>
    </row>
    <row r="24" spans="1:50" s="233" customFormat="1" ht="30" customHeight="1" x14ac:dyDescent="0.45">
      <c r="A24" s="731" t="s">
        <v>172</v>
      </c>
      <c r="B24" s="348" t="s">
        <v>282</v>
      </c>
      <c r="C24" s="317">
        <v>125</v>
      </c>
      <c r="D24" s="238">
        <v>3330.68</v>
      </c>
      <c r="E24" s="238">
        <v>4163.3499999999995</v>
      </c>
      <c r="F24" s="238">
        <f t="shared" ref="F24:F27" si="31">D24+E24</f>
        <v>7494.0299999999988</v>
      </c>
      <c r="G24" s="233">
        <v>359</v>
      </c>
      <c r="H24" s="353">
        <f t="shared" si="21"/>
        <v>6495.1231049999997</v>
      </c>
      <c r="I24" s="463">
        <v>0.91</v>
      </c>
      <c r="J24" s="362">
        <v>5000</v>
      </c>
      <c r="K24" s="361">
        <f t="shared" si="12"/>
        <v>4943.7026541570003</v>
      </c>
      <c r="L24" s="390">
        <f t="shared" si="0"/>
        <v>5315.8093055451618</v>
      </c>
      <c r="M24" s="372">
        <f t="shared" si="13"/>
        <v>45.237212492999994</v>
      </c>
      <c r="N24" s="373">
        <f t="shared" si="14"/>
        <v>6495.1231049999997</v>
      </c>
      <c r="O24" s="378">
        <f t="shared" ref="O24:O28" si="32">N24*0.15</f>
        <v>974.2684657499999</v>
      </c>
      <c r="P24" s="373">
        <f>$H$24-$M$24-O24</f>
        <v>5475.6174267570004</v>
      </c>
      <c r="Q24" s="373">
        <f t="shared" si="15"/>
        <v>12990.246209999999</v>
      </c>
      <c r="R24" s="374">
        <f>(Q24-10000)*0.2+(10000-N24)*0.15</f>
        <v>1123.7807762499999</v>
      </c>
      <c r="S24" s="373">
        <f>$H$24-$M$24-R24</f>
        <v>5326.1051162570002</v>
      </c>
      <c r="T24" s="373">
        <f t="shared" si="1"/>
        <v>19485.369315</v>
      </c>
      <c r="U24" s="374">
        <f>H24*0.2</f>
        <v>1299.024621</v>
      </c>
      <c r="V24" s="373">
        <f>$H$24-$M$24-U24</f>
        <v>5150.8612715069994</v>
      </c>
      <c r="W24" s="373">
        <f t="shared" si="2"/>
        <v>25980.492419999999</v>
      </c>
      <c r="X24" s="376">
        <f>(W24-25000)*0.27+(25000-T24)*0.2</f>
        <v>1367.6590903999997</v>
      </c>
      <c r="Y24" s="373">
        <f>$H$24-$M$24-X24</f>
        <v>5082.2268021070004</v>
      </c>
      <c r="Z24" s="373">
        <f t="shared" si="4"/>
        <v>32475.615524999997</v>
      </c>
      <c r="AA24" s="376">
        <f t="shared" si="16"/>
        <v>1753.68323835</v>
      </c>
      <c r="AB24" s="373">
        <f>$H$24-$M$24-AA24</f>
        <v>4696.2026541569994</v>
      </c>
      <c r="AC24" s="373">
        <f t="shared" si="5"/>
        <v>38970.73863</v>
      </c>
      <c r="AD24" s="376">
        <f t="shared" si="27"/>
        <v>1753.68323835</v>
      </c>
      <c r="AE24" s="373">
        <f>$H$24-$M$24-AD24</f>
        <v>4696.2026541569994</v>
      </c>
      <c r="AF24" s="373">
        <f t="shared" si="6"/>
        <v>45465.861734999999</v>
      </c>
      <c r="AG24" s="376">
        <f t="shared" si="28"/>
        <v>1753.68323835</v>
      </c>
      <c r="AH24" s="373">
        <f>$H$24-$M$24-AG24</f>
        <v>4696.2026541569994</v>
      </c>
      <c r="AI24" s="373">
        <f t="shared" si="7"/>
        <v>51960.984839999997</v>
      </c>
      <c r="AJ24" s="376">
        <f t="shared" si="29"/>
        <v>1753.68323835</v>
      </c>
      <c r="AK24" s="373">
        <f>$H$24-$M$24-AJ24</f>
        <v>4696.2026541569994</v>
      </c>
      <c r="AL24" s="373">
        <f t="shared" si="8"/>
        <v>58456.107944999996</v>
      </c>
      <c r="AM24" s="376">
        <f>H24*0.27</f>
        <v>1753.68323835</v>
      </c>
      <c r="AN24" s="373">
        <f>$H$24-$M$24-AM24</f>
        <v>4696.2026541569994</v>
      </c>
      <c r="AO24" s="373">
        <f t="shared" si="9"/>
        <v>64951.231049999995</v>
      </c>
      <c r="AP24" s="376">
        <f>H24*0.27</f>
        <v>1753.68323835</v>
      </c>
      <c r="AQ24" s="373">
        <f>$H$24-$M$24-AP24</f>
        <v>4696.2026541569994</v>
      </c>
      <c r="AR24" s="373">
        <f t="shared" si="10"/>
        <v>71446.354154999994</v>
      </c>
      <c r="AS24" s="376">
        <f>H24*0.27</f>
        <v>1753.68323835</v>
      </c>
      <c r="AT24" s="373">
        <f>$H$24-$M$24-AS24</f>
        <v>4696.2026541569994</v>
      </c>
      <c r="AU24" s="373">
        <f t="shared" si="11"/>
        <v>77941.47726</v>
      </c>
      <c r="AV24" s="376">
        <f t="shared" si="30"/>
        <v>1753.68323835</v>
      </c>
      <c r="AW24" s="373">
        <f>$H$24-$M$24-AV24</f>
        <v>4696.2026541569994</v>
      </c>
      <c r="AX24" s="371"/>
    </row>
    <row r="25" spans="1:50" s="233" customFormat="1" ht="30" customHeight="1" x14ac:dyDescent="0.45">
      <c r="A25" s="732"/>
      <c r="B25" s="348" t="s">
        <v>281</v>
      </c>
      <c r="C25" s="317">
        <v>125</v>
      </c>
      <c r="D25" s="238">
        <v>3330.68</v>
      </c>
      <c r="E25" s="238">
        <v>4163.3499999999995</v>
      </c>
      <c r="F25" s="238">
        <f t="shared" si="31"/>
        <v>7494.0299999999988</v>
      </c>
      <c r="G25" s="233">
        <v>359</v>
      </c>
      <c r="H25" s="353">
        <f t="shared" si="21"/>
        <v>5798.1783149999992</v>
      </c>
      <c r="I25" s="363">
        <v>0.73</v>
      </c>
      <c r="J25" s="362">
        <v>4500</v>
      </c>
      <c r="K25" s="361">
        <f>((P25+S25+V25+Y25+AB25+AE25+AH25+AK25+AN25+AQ25+AT25+AW25)/12)+60</f>
        <v>4513.7005066739994</v>
      </c>
      <c r="L25" s="390">
        <f t="shared" si="0"/>
        <v>4853.4414050258056</v>
      </c>
      <c r="M25" s="372">
        <f t="shared" si="13"/>
        <v>40.637376878999994</v>
      </c>
      <c r="N25" s="373">
        <f t="shared" si="14"/>
        <v>5798.1783149999992</v>
      </c>
      <c r="O25" s="378">
        <f t="shared" si="32"/>
        <v>869.7267472499999</v>
      </c>
      <c r="P25" s="373">
        <f>$H$24-$M$24-O25</f>
        <v>5580.1591452570001</v>
      </c>
      <c r="Q25" s="373">
        <f t="shared" si="15"/>
        <v>11596.356629999998</v>
      </c>
      <c r="R25" s="374">
        <f>(Q25-10000)*0.2+(10000-N25)*0.15</f>
        <v>949.5445787499998</v>
      </c>
      <c r="S25" s="373">
        <f>H25-M25-R25</f>
        <v>4807.9963593709999</v>
      </c>
      <c r="T25" s="373">
        <f t="shared" si="1"/>
        <v>17394.534944999999</v>
      </c>
      <c r="U25" s="374">
        <f>H25*0.2</f>
        <v>1159.6356629999998</v>
      </c>
      <c r="V25" s="373">
        <f>H25-M25-U25</f>
        <v>4597.9052751209992</v>
      </c>
      <c r="W25" s="373">
        <f t="shared" si="2"/>
        <v>23192.713259999997</v>
      </c>
      <c r="X25" s="374">
        <f>H25*0.2</f>
        <v>1159.6356629999998</v>
      </c>
      <c r="Y25" s="373">
        <f>H25-M25-X25</f>
        <v>4597.9052751209992</v>
      </c>
      <c r="Z25" s="373">
        <f t="shared" si="4"/>
        <v>28990.891574999994</v>
      </c>
      <c r="AA25" s="376">
        <f>(Z25-25000)*0.27+(25000-W25)*0.2</f>
        <v>1438.9980732499992</v>
      </c>
      <c r="AB25" s="373">
        <f>H25-M25-AA25</f>
        <v>4318.5428648710003</v>
      </c>
      <c r="AC25" s="373">
        <f t="shared" si="5"/>
        <v>34789.069889999999</v>
      </c>
      <c r="AD25" s="376">
        <f t="shared" si="27"/>
        <v>1565.5081450499999</v>
      </c>
      <c r="AE25" s="373">
        <f>H25-M25-AD25</f>
        <v>4192.0327930709991</v>
      </c>
      <c r="AF25" s="373">
        <f t="shared" si="6"/>
        <v>40587.248204999996</v>
      </c>
      <c r="AG25" s="376">
        <f t="shared" si="28"/>
        <v>1565.5081450499999</v>
      </c>
      <c r="AH25" s="373">
        <f>H25-M25-AG25</f>
        <v>4192.0327930709991</v>
      </c>
      <c r="AI25" s="373">
        <f t="shared" si="7"/>
        <v>46385.426519999994</v>
      </c>
      <c r="AJ25" s="376">
        <f t="shared" si="29"/>
        <v>1565.5081450499999</v>
      </c>
      <c r="AK25" s="373">
        <f>H25-M25-AJ25</f>
        <v>4192.0327930709991</v>
      </c>
      <c r="AL25" s="373">
        <f t="shared" si="8"/>
        <v>52183.604834999991</v>
      </c>
      <c r="AM25" s="376">
        <f>H25*0.27</f>
        <v>1565.5081450499999</v>
      </c>
      <c r="AN25" s="373">
        <f>H25-M25-AM25</f>
        <v>4192.0327930709991</v>
      </c>
      <c r="AO25" s="373">
        <f t="shared" si="9"/>
        <v>57981.783149999988</v>
      </c>
      <c r="AP25" s="376">
        <f>H25*0.27</f>
        <v>1565.5081450499999</v>
      </c>
      <c r="AQ25" s="373">
        <f>H25-M25-$AP$26</f>
        <v>4389.7004019209999</v>
      </c>
      <c r="AR25" s="373">
        <f t="shared" si="10"/>
        <v>63779.961464999993</v>
      </c>
      <c r="AS25" s="376">
        <f>H25*0.27</f>
        <v>1565.5081450499999</v>
      </c>
      <c r="AT25" s="373">
        <f>H25-M25-AS25</f>
        <v>4192.0327930709991</v>
      </c>
      <c r="AU25" s="373">
        <f t="shared" si="11"/>
        <v>69578.139779999998</v>
      </c>
      <c r="AV25" s="376">
        <f t="shared" si="30"/>
        <v>1565.5081450499999</v>
      </c>
      <c r="AW25" s="373">
        <f>H25-M25-AV25</f>
        <v>4192.0327930709991</v>
      </c>
      <c r="AX25" s="371"/>
    </row>
    <row r="26" spans="1:50" s="233" customFormat="1" ht="30" customHeight="1" x14ac:dyDescent="0.45">
      <c r="A26" s="732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31"/>
        <v>7494.0299999999988</v>
      </c>
      <c r="G26" s="233">
        <v>278</v>
      </c>
      <c r="H26" s="353">
        <f>D26+E26*$H$5*$I26-G26</f>
        <v>5066.0760599999994</v>
      </c>
      <c r="I26" s="391">
        <v>0.52</v>
      </c>
      <c r="J26" s="362">
        <v>4000</v>
      </c>
      <c r="K26" s="361">
        <f t="shared" si="12"/>
        <v>3910.4646218039993</v>
      </c>
      <c r="L26" s="390">
        <f t="shared" si="0"/>
        <v>4204.8006686064509</v>
      </c>
      <c r="M26" s="372">
        <f t="shared" si="13"/>
        <v>35.270901995999999</v>
      </c>
      <c r="N26" s="373">
        <f t="shared" si="14"/>
        <v>5066.0760599999994</v>
      </c>
      <c r="O26" s="378">
        <f t="shared" si="32"/>
        <v>759.91140899999994</v>
      </c>
      <c r="P26" s="373">
        <f>H26-M26-O26</f>
        <v>4270.8937490039989</v>
      </c>
      <c r="Q26" s="373">
        <f t="shared" si="15"/>
        <v>10132.152119999999</v>
      </c>
      <c r="R26" s="374">
        <f t="shared" ref="R26" si="33">(Q26-10000)*0.2+(10000-N26)*0.15</f>
        <v>766.51901499999985</v>
      </c>
      <c r="S26" s="373">
        <f>H26-M26-R26</f>
        <v>4264.2861430039993</v>
      </c>
      <c r="T26" s="373">
        <f t="shared" si="1"/>
        <v>15198.228179999998</v>
      </c>
      <c r="U26" s="374">
        <f>H26*0.2</f>
        <v>1013.215212</v>
      </c>
      <c r="V26" s="373">
        <f>H26-M26-U26</f>
        <v>4017.5899460039991</v>
      </c>
      <c r="W26" s="373">
        <f t="shared" si="2"/>
        <v>20264.304239999998</v>
      </c>
      <c r="X26" s="374">
        <f>H26*0.2</f>
        <v>1013.215212</v>
      </c>
      <c r="Y26" s="373">
        <f>H26-M26-X26</f>
        <v>4017.5899460039991</v>
      </c>
      <c r="Z26" s="373">
        <f t="shared" si="4"/>
        <v>25330.380299999997</v>
      </c>
      <c r="AA26" s="376">
        <f>(Z26-25000)*0.27+(25000-W26)*0.2</f>
        <v>1036.3418329999997</v>
      </c>
      <c r="AB26" s="373">
        <f>H26-M26-AA26</f>
        <v>3994.4633250039997</v>
      </c>
      <c r="AC26" s="373">
        <f t="shared" si="5"/>
        <v>30396.456359999996</v>
      </c>
      <c r="AD26" s="376">
        <f t="shared" si="27"/>
        <v>1367.8405361999999</v>
      </c>
      <c r="AE26" s="373">
        <f>H26-M26-AD26</f>
        <v>3662.9646218039993</v>
      </c>
      <c r="AF26" s="373">
        <f t="shared" si="6"/>
        <v>35462.532419999996</v>
      </c>
      <c r="AG26" s="376">
        <f t="shared" si="28"/>
        <v>1367.8405361999999</v>
      </c>
      <c r="AH26" s="373">
        <f>H26-M26-AG26</f>
        <v>3662.9646218039993</v>
      </c>
      <c r="AI26" s="373">
        <f t="shared" si="7"/>
        <v>40528.608479999995</v>
      </c>
      <c r="AJ26" s="376">
        <f t="shared" si="29"/>
        <v>1367.8405361999999</v>
      </c>
      <c r="AK26" s="373">
        <f>H26-M26-AJ26</f>
        <v>3662.9646218039993</v>
      </c>
      <c r="AL26" s="373">
        <f t="shared" si="8"/>
        <v>45594.684539999995</v>
      </c>
      <c r="AM26" s="376">
        <f>H26*0.27</f>
        <v>1367.8405361999999</v>
      </c>
      <c r="AN26" s="373">
        <f>H26-M26-AM26</f>
        <v>3662.9646218039993</v>
      </c>
      <c r="AO26" s="373">
        <f t="shared" si="9"/>
        <v>50660.760599999994</v>
      </c>
      <c r="AP26" s="376">
        <f>H26*0.27</f>
        <v>1367.8405361999999</v>
      </c>
      <c r="AQ26" s="373">
        <f>H26-M26-$AP$26</f>
        <v>3662.9646218039993</v>
      </c>
      <c r="AR26" s="373">
        <f t="shared" si="10"/>
        <v>55726.836659999994</v>
      </c>
      <c r="AS26" s="376">
        <f>H26*0.27</f>
        <v>1367.8405361999999</v>
      </c>
      <c r="AT26" s="373">
        <f>H26-M26-AS26</f>
        <v>3662.9646218039993</v>
      </c>
      <c r="AU26" s="373">
        <f t="shared" si="11"/>
        <v>60792.912719999993</v>
      </c>
      <c r="AV26" s="376">
        <f t="shared" si="30"/>
        <v>1367.8405361999999</v>
      </c>
      <c r="AW26" s="373">
        <f>H26-M26-AV26</f>
        <v>3662.9646218039993</v>
      </c>
      <c r="AX26" s="371"/>
    </row>
    <row r="27" spans="1:50" s="233" customFormat="1" ht="30" customHeight="1" x14ac:dyDescent="0.45">
      <c r="A27" s="733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31"/>
        <v>7494.0299999999988</v>
      </c>
      <c r="G27" s="233">
        <v>278</v>
      </c>
      <c r="H27" s="353">
        <f t="shared" si="21"/>
        <v>3749.6247899999998</v>
      </c>
      <c r="I27" s="391">
        <v>0.18</v>
      </c>
      <c r="J27" s="362">
        <v>3000</v>
      </c>
      <c r="K27" s="361">
        <f t="shared" si="12"/>
        <v>2928.5236195109992</v>
      </c>
      <c r="L27" s="390">
        <f t="shared" si="0"/>
        <v>3148.9501285064507</v>
      </c>
      <c r="M27" s="372">
        <f t="shared" si="13"/>
        <v>26.582323614</v>
      </c>
      <c r="N27" s="373">
        <f t="shared" si="14"/>
        <v>3749.6247899999998</v>
      </c>
      <c r="O27" s="378">
        <f t="shared" si="32"/>
        <v>562.44371849999993</v>
      </c>
      <c r="P27" s="373">
        <f>H27-M27-O27</f>
        <v>3160.5987478859997</v>
      </c>
      <c r="Q27" s="373">
        <f t="shared" si="15"/>
        <v>7499.2495799999997</v>
      </c>
      <c r="R27" s="378">
        <f>H27*0.15</f>
        <v>562.44371849999993</v>
      </c>
      <c r="S27" s="373">
        <f>H27-M27-R27</f>
        <v>3160.5987478859997</v>
      </c>
      <c r="T27" s="373">
        <f t="shared" si="1"/>
        <v>11248.87437</v>
      </c>
      <c r="U27" s="374">
        <f>(T27-10000)*0.2+(10000-Q27)*0.15</f>
        <v>624.88743699999998</v>
      </c>
      <c r="V27" s="373">
        <f>H27-M27-U27</f>
        <v>3098.155029386</v>
      </c>
      <c r="W27" s="373">
        <f t="shared" si="2"/>
        <v>14998.499159999999</v>
      </c>
      <c r="X27" s="374">
        <f>H27*0.2</f>
        <v>749.92495800000006</v>
      </c>
      <c r="Y27" s="373">
        <f>H27-M27-X27</f>
        <v>2973.1175083859998</v>
      </c>
      <c r="Z27" s="373">
        <f t="shared" si="4"/>
        <v>18748.123950000001</v>
      </c>
      <c r="AA27" s="374">
        <f>H27*0.2</f>
        <v>749.92495800000006</v>
      </c>
      <c r="AB27" s="373">
        <f>H27-M27-AA27</f>
        <v>2973.1175083859998</v>
      </c>
      <c r="AC27" s="373">
        <f t="shared" si="5"/>
        <v>22497.748739999999</v>
      </c>
      <c r="AD27" s="374">
        <f>H27*0.2</f>
        <v>749.92495800000006</v>
      </c>
      <c r="AE27" s="373">
        <f>H27-M27-AD27</f>
        <v>2973.1175083859998</v>
      </c>
      <c r="AF27" s="373">
        <f t="shared" si="6"/>
        <v>26247.373529999997</v>
      </c>
      <c r="AG27" s="376">
        <f>(AF27-25000)*0.27+(25000-AC27)*0.2</f>
        <v>837.24110509999946</v>
      </c>
      <c r="AH27" s="373">
        <f>H27-M27-AG27</f>
        <v>2885.8013612860004</v>
      </c>
      <c r="AI27" s="373">
        <f t="shared" si="7"/>
        <v>29996.998319999999</v>
      </c>
      <c r="AJ27" s="376">
        <f t="shared" si="29"/>
        <v>1012.3986933</v>
      </c>
      <c r="AK27" s="373">
        <f>H27-M27-AJ27</f>
        <v>2710.6437730859998</v>
      </c>
      <c r="AL27" s="373">
        <f t="shared" si="8"/>
        <v>33746.62311</v>
      </c>
      <c r="AM27" s="376">
        <f>H27*0.27</f>
        <v>1012.3986933</v>
      </c>
      <c r="AN27" s="373">
        <f>H27-M27-AM27</f>
        <v>2710.6437730859998</v>
      </c>
      <c r="AO27" s="373">
        <f t="shared" si="9"/>
        <v>37496.247900000002</v>
      </c>
      <c r="AP27" s="376">
        <f>H27*0.27</f>
        <v>1012.3986933</v>
      </c>
      <c r="AQ27" s="373">
        <f>H27-M27-$AP$26</f>
        <v>2355.201930186</v>
      </c>
      <c r="AR27" s="373">
        <f t="shared" si="10"/>
        <v>41245.872689999997</v>
      </c>
      <c r="AS27" s="376">
        <f>H27*0.27</f>
        <v>1012.3986933</v>
      </c>
      <c r="AT27" s="373">
        <f>H27-M27-AS27</f>
        <v>2710.6437730859998</v>
      </c>
      <c r="AU27" s="373">
        <f t="shared" si="11"/>
        <v>44995.497479999998</v>
      </c>
      <c r="AV27" s="376">
        <f t="shared" si="30"/>
        <v>1012.3986933</v>
      </c>
      <c r="AW27" s="373">
        <f>H27-M27-AV27</f>
        <v>2710.6437730859998</v>
      </c>
      <c r="AX27" s="371"/>
    </row>
    <row r="28" spans="1:50" s="233" customFormat="1" ht="28.5" x14ac:dyDescent="0.45">
      <c r="A28" s="754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21"/>
        <v>2223.6737480000002</v>
      </c>
      <c r="I28" s="391">
        <v>0.54</v>
      </c>
      <c r="J28" s="362">
        <v>1795</v>
      </c>
      <c r="K28" s="361">
        <f t="shared" si="12"/>
        <v>1777.3453070865335</v>
      </c>
      <c r="L28" s="390">
        <f t="shared" si="0"/>
        <v>1911.1239861145521</v>
      </c>
      <c r="M28" s="372">
        <f t="shared" si="13"/>
        <v>16.511046736800001</v>
      </c>
      <c r="N28" s="373">
        <f t="shared" si="14"/>
        <v>2223.6737480000002</v>
      </c>
      <c r="O28" s="378">
        <f t="shared" si="32"/>
        <v>333.55106219999999</v>
      </c>
      <c r="P28" s="373">
        <f>H28-M28-O28</f>
        <v>1873.6116390632003</v>
      </c>
      <c r="Q28" s="373">
        <f t="shared" si="15"/>
        <v>4447.3474960000003</v>
      </c>
      <c r="R28" s="378">
        <f>H28*0.15</f>
        <v>333.55106219999999</v>
      </c>
      <c r="S28" s="373">
        <f>H28-M28-R28</f>
        <v>1873.6116390632003</v>
      </c>
      <c r="T28" s="373">
        <f t="shared" si="1"/>
        <v>6671.0212440000005</v>
      </c>
      <c r="U28" s="378">
        <f>H28*0.15</f>
        <v>333.55106219999999</v>
      </c>
      <c r="V28" s="373">
        <f>H28-M28-U28</f>
        <v>1873.6116390632003</v>
      </c>
      <c r="W28" s="373">
        <f t="shared" si="2"/>
        <v>8894.6949920000006</v>
      </c>
      <c r="X28" s="378">
        <f>H28*0.15</f>
        <v>333.55106219999999</v>
      </c>
      <c r="Y28" s="373">
        <f>H28-M28-X28</f>
        <v>1873.6116390632003</v>
      </c>
      <c r="Z28" s="373">
        <f t="shared" si="4"/>
        <v>11118.368740000002</v>
      </c>
      <c r="AA28" s="374">
        <f>(Z28-10000)*0.2+(10000-W28)*0.15</f>
        <v>389.46949920000026</v>
      </c>
      <c r="AB28" s="373">
        <f>H28-M28-AA28</f>
        <v>1817.6932020632</v>
      </c>
      <c r="AC28" s="373">
        <f t="shared" si="5"/>
        <v>13342.042488000001</v>
      </c>
      <c r="AD28" s="374">
        <f>H28*0.2</f>
        <v>444.73474960000004</v>
      </c>
      <c r="AE28" s="373">
        <f>H28-M28-AD28</f>
        <v>1762.4279516632002</v>
      </c>
      <c r="AF28" s="373">
        <f t="shared" si="6"/>
        <v>15565.716236</v>
      </c>
      <c r="AG28" s="374">
        <f>H28*0.2</f>
        <v>444.73474960000004</v>
      </c>
      <c r="AH28" s="373">
        <f>H28-M28-AG28</f>
        <v>1762.4279516632002</v>
      </c>
      <c r="AI28" s="373">
        <f t="shared" si="7"/>
        <v>17789.389984000001</v>
      </c>
      <c r="AJ28" s="374">
        <f>H28*0.2</f>
        <v>444.73474960000004</v>
      </c>
      <c r="AK28" s="373">
        <f>H28-M28-AJ28</f>
        <v>1762.4279516632002</v>
      </c>
      <c r="AL28" s="373">
        <f t="shared" si="8"/>
        <v>20013.063732000002</v>
      </c>
      <c r="AM28" s="374">
        <f>H28*0.2</f>
        <v>444.73474960000004</v>
      </c>
      <c r="AN28" s="373">
        <f>H28-M28-AM28</f>
        <v>1762.4279516632002</v>
      </c>
      <c r="AO28" s="373">
        <f t="shared" si="9"/>
        <v>22236.737480000003</v>
      </c>
      <c r="AP28" s="374">
        <f>H28*0.2</f>
        <v>444.73474960000004</v>
      </c>
      <c r="AQ28" s="373">
        <f>H28-M28-$AP$26</f>
        <v>839.32216506320037</v>
      </c>
      <c r="AR28" s="373">
        <f t="shared" si="10"/>
        <v>24460.411228000001</v>
      </c>
      <c r="AS28" s="374">
        <f>H28*0.2</f>
        <v>444.73474960000004</v>
      </c>
      <c r="AT28" s="373">
        <f>H28-M28-AS28</f>
        <v>1762.4279516632002</v>
      </c>
      <c r="AU28" s="373">
        <f t="shared" si="11"/>
        <v>26684.084976000002</v>
      </c>
      <c r="AV28" s="376">
        <f>(AU28-25000)*0.27+(25000-AR28)*0.2</f>
        <v>562.62069792000034</v>
      </c>
      <c r="AW28" s="373">
        <f>H28-M28-AV28</f>
        <v>1644.5420033431999</v>
      </c>
      <c r="AX28" s="371"/>
    </row>
    <row r="29" spans="1:50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1</v>
      </c>
      <c r="I29" s="363"/>
      <c r="J29" s="233"/>
      <c r="K29" s="361"/>
      <c r="L29" s="390"/>
      <c r="M29" s="372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5"/>
    </row>
    <row r="30" spans="1:50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34">D30+E30</f>
        <v>24980.1</v>
      </c>
      <c r="G30" s="233">
        <v>359</v>
      </c>
      <c r="H30" s="353">
        <f>D30+E30*$H$29*$I30-G30</f>
        <v>17426.831199999997</v>
      </c>
      <c r="I30" s="363">
        <v>0.64</v>
      </c>
      <c r="J30" s="362">
        <v>11900</v>
      </c>
      <c r="K30" s="361">
        <f t="shared" si="12"/>
        <v>12438.516326063333</v>
      </c>
      <c r="L30" s="390">
        <f>K30/0.94</f>
        <v>13232.464176663121</v>
      </c>
      <c r="M30" s="372">
        <f t="shared" si="13"/>
        <v>117.38648591999998</v>
      </c>
      <c r="N30" s="373">
        <f t="shared" si="14"/>
        <v>17426.831199999997</v>
      </c>
      <c r="O30" s="374">
        <f t="shared" ref="O30:O42" si="35">(N30-10000)*0.2+10000*0.15</f>
        <v>2985.3662399999994</v>
      </c>
      <c r="P30" s="373">
        <f t="shared" ref="P30:P54" si="36">H30-M30-O30</f>
        <v>14324.078474079997</v>
      </c>
      <c r="Q30" s="373">
        <f t="shared" si="15"/>
        <v>34853.662399999994</v>
      </c>
      <c r="R30" s="376">
        <f>(Q30-25000)*0.27+(25000-N30)*0.2</f>
        <v>4175.1226079999997</v>
      </c>
      <c r="S30" s="373">
        <f t="shared" ref="S30:S54" si="37">H30-M30-R30</f>
        <v>13134.322106079997</v>
      </c>
      <c r="T30" s="373">
        <f t="shared" ref="T30:T54" si="38">H30*3</f>
        <v>52280.493599999987</v>
      </c>
      <c r="U30" s="376">
        <f t="shared" ref="U30:U33" si="39">N30*0.27</f>
        <v>4705.2444239999995</v>
      </c>
      <c r="V30" s="373">
        <f t="shared" ref="V30:V54" si="40">H30-M30-U30</f>
        <v>12604.200290079996</v>
      </c>
      <c r="W30" s="373">
        <f t="shared" ref="W30:W54" si="41">H30*4</f>
        <v>69707.324799999988</v>
      </c>
      <c r="X30" s="376">
        <f t="shared" ref="X30:X37" si="42">H30*0.27</f>
        <v>4705.2444239999995</v>
      </c>
      <c r="Y30" s="373">
        <f t="shared" ref="Y30:Y54" si="43">H30-M30-X30</f>
        <v>12604.200290079996</v>
      </c>
      <c r="Z30" s="373">
        <f t="shared" ref="Z30:Z54" si="44">H30*5</f>
        <v>87134.155999999988</v>
      </c>
      <c r="AA30" s="376">
        <f t="shared" ref="AA30:AA50" si="45">H30*0.27</f>
        <v>4705.2444239999995</v>
      </c>
      <c r="AB30" s="373">
        <f t="shared" ref="AB30:AB54" si="46">H30-M30-AA30</f>
        <v>12604.200290079996</v>
      </c>
      <c r="AC30" s="373">
        <f t="shared" ref="AC30:AC54" si="47">H30*6</f>
        <v>104560.98719999997</v>
      </c>
      <c r="AD30" s="377">
        <f>(AC30-88000)*0.35+(88000-Z30)*0.27</f>
        <v>6030.123399999994</v>
      </c>
      <c r="AE30" s="373">
        <f t="shared" ref="AE30:AE54" si="48">H30-M30-AD30</f>
        <v>11279.321314080004</v>
      </c>
      <c r="AF30" s="373">
        <f t="shared" ref="AF30:AF54" si="49">H30*7</f>
        <v>121987.81839999997</v>
      </c>
      <c r="AG30" s="377">
        <f>H30*0.35</f>
        <v>6099.3909199999989</v>
      </c>
      <c r="AH30" s="373">
        <f t="shared" ref="AH30:AH54" si="50">H30-M30-AG30</f>
        <v>11210.053794079999</v>
      </c>
      <c r="AI30" s="373">
        <f t="shared" ref="AI30:AI54" si="51">H30*8</f>
        <v>139414.64959999998</v>
      </c>
      <c r="AJ30" s="377">
        <f>H30*0.35</f>
        <v>6099.3909199999989</v>
      </c>
      <c r="AK30" s="373">
        <f t="shared" ref="AK30:AK54" si="52">H30-M30-AJ30</f>
        <v>11210.053794079999</v>
      </c>
      <c r="AL30" s="373">
        <f t="shared" ref="AL30:AL54" si="53">H30*9</f>
        <v>156841.48079999996</v>
      </c>
      <c r="AM30" s="377">
        <f>H30*0.35</f>
        <v>6099.3909199999989</v>
      </c>
      <c r="AN30" s="373">
        <f t="shared" ref="AN30:AN54" si="54">H30-M30-AM30</f>
        <v>11210.053794079999</v>
      </c>
      <c r="AO30" s="373">
        <f t="shared" ref="AO30:AO54" si="55">H30*10</f>
        <v>174268.31199999998</v>
      </c>
      <c r="AP30" s="377">
        <f>H30*0.35</f>
        <v>6099.3909199999989</v>
      </c>
      <c r="AQ30" s="373">
        <f t="shared" ref="AQ30:AQ35" si="56">H30-M30-$AP$26</f>
        <v>15941.604177879997</v>
      </c>
      <c r="AR30" s="373">
        <f t="shared" ref="AR30:AR54" si="57">H30*11</f>
        <v>191695.14319999996</v>
      </c>
      <c r="AS30" s="377">
        <f t="shared" ref="AS30:AS37" si="58">H30*0.35</f>
        <v>6099.3909199999989</v>
      </c>
      <c r="AT30" s="373">
        <f t="shared" ref="AT30:AT54" si="59">H30-M30-AS30</f>
        <v>11210.053794079999</v>
      </c>
      <c r="AU30" s="373">
        <f t="shared" ref="AU30:AU54" si="60">H30*12</f>
        <v>209121.97439999995</v>
      </c>
      <c r="AV30" s="377">
        <f t="shared" ref="AV30:AV37" si="61">H30*0.35</f>
        <v>6099.3909199999989</v>
      </c>
      <c r="AW30" s="373">
        <f t="shared" ref="AW30:AW54" si="62">H30-M30-AV30</f>
        <v>11210.053794079999</v>
      </c>
      <c r="AX30" s="292"/>
    </row>
    <row r="31" spans="1:50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34"/>
        <v>24980.1</v>
      </c>
      <c r="G31" s="233">
        <v>359</v>
      </c>
      <c r="H31" s="353">
        <f t="shared" ref="H31:H54" si="63">D31+E31*$H$29*$I31-G31</f>
        <v>11231.7664</v>
      </c>
      <c r="I31" s="363">
        <v>0.33</v>
      </c>
      <c r="J31" s="362">
        <v>8000</v>
      </c>
      <c r="K31" s="361">
        <f t="shared" si="12"/>
        <v>8271.9222437433327</v>
      </c>
      <c r="L31" s="390">
        <f t="shared" ref="L31:L54" si="64">K31/0.94</f>
        <v>8799.9172805780145</v>
      </c>
      <c r="M31" s="372">
        <f t="shared" si="13"/>
        <v>76.499058239999997</v>
      </c>
      <c r="N31" s="373">
        <f t="shared" si="14"/>
        <v>11231.7664</v>
      </c>
      <c r="O31" s="374">
        <f t="shared" si="35"/>
        <v>1746.35328</v>
      </c>
      <c r="P31" s="373">
        <f t="shared" si="36"/>
        <v>9408.9140617600005</v>
      </c>
      <c r="Q31" s="373">
        <f t="shared" si="15"/>
        <v>22463.532800000001</v>
      </c>
      <c r="R31" s="374">
        <f>H31*0.2</f>
        <v>2246.3532800000003</v>
      </c>
      <c r="S31" s="373">
        <f t="shared" si="37"/>
        <v>8908.9140617599987</v>
      </c>
      <c r="T31" s="373">
        <f t="shared" si="38"/>
        <v>33695.299200000001</v>
      </c>
      <c r="U31" s="376">
        <f>(T31-25000)*0.27+(25000-Q31)*0.2</f>
        <v>2855.0242240000002</v>
      </c>
      <c r="V31" s="373">
        <f t="shared" si="40"/>
        <v>8300.2431177599992</v>
      </c>
      <c r="W31" s="373">
        <f t="shared" si="41"/>
        <v>44927.065600000002</v>
      </c>
      <c r="X31" s="376">
        <f t="shared" si="42"/>
        <v>3032.5769280000004</v>
      </c>
      <c r="Y31" s="373">
        <f t="shared" si="43"/>
        <v>8122.6904137599995</v>
      </c>
      <c r="Z31" s="373">
        <f t="shared" si="44"/>
        <v>56158.832000000002</v>
      </c>
      <c r="AA31" s="376">
        <f t="shared" si="45"/>
        <v>3032.5769280000004</v>
      </c>
      <c r="AB31" s="373">
        <f t="shared" si="46"/>
        <v>8122.6904137599995</v>
      </c>
      <c r="AC31" s="373">
        <f t="shared" si="47"/>
        <v>67390.598400000003</v>
      </c>
      <c r="AD31" s="376">
        <f t="shared" ref="AD31:AD38" si="65">H31*0.27</f>
        <v>3032.5769280000004</v>
      </c>
      <c r="AE31" s="373">
        <f t="shared" si="48"/>
        <v>8122.6904137599995</v>
      </c>
      <c r="AF31" s="373">
        <f t="shared" si="49"/>
        <v>78622.36480000001</v>
      </c>
      <c r="AG31" s="376">
        <f>H31*0.27</f>
        <v>3032.5769280000004</v>
      </c>
      <c r="AH31" s="373">
        <f t="shared" si="50"/>
        <v>8122.6904137599995</v>
      </c>
      <c r="AI31" s="373">
        <f t="shared" si="51"/>
        <v>89854.131200000003</v>
      </c>
      <c r="AJ31" s="376">
        <f>H31*0.27</f>
        <v>3032.5769280000004</v>
      </c>
      <c r="AK31" s="373">
        <f t="shared" si="52"/>
        <v>8122.6904137599995</v>
      </c>
      <c r="AL31" s="373">
        <f t="shared" si="53"/>
        <v>101085.8976</v>
      </c>
      <c r="AM31" s="377">
        <f>(AL31-88000)*0.35+(88000-AI31)*0.27</f>
        <v>4079.4487359999971</v>
      </c>
      <c r="AN31" s="373">
        <f t="shared" si="54"/>
        <v>7075.8186057600033</v>
      </c>
      <c r="AO31" s="373">
        <f t="shared" si="55"/>
        <v>112317.664</v>
      </c>
      <c r="AP31" s="377">
        <f>H31*0.35</f>
        <v>3931.1182399999998</v>
      </c>
      <c r="AQ31" s="373">
        <f t="shared" si="56"/>
        <v>9787.4268055600005</v>
      </c>
      <c r="AR31" s="373">
        <f t="shared" si="57"/>
        <v>123549.43040000001</v>
      </c>
      <c r="AS31" s="377">
        <f t="shared" si="58"/>
        <v>3931.1182399999998</v>
      </c>
      <c r="AT31" s="373">
        <f t="shared" si="59"/>
        <v>7224.1491017600001</v>
      </c>
      <c r="AU31" s="373">
        <f t="shared" si="60"/>
        <v>134781.19680000001</v>
      </c>
      <c r="AV31" s="377">
        <f t="shared" si="61"/>
        <v>3931.1182399999998</v>
      </c>
      <c r="AW31" s="373">
        <f t="shared" si="62"/>
        <v>7224.1491017600001</v>
      </c>
      <c r="AX31" s="292"/>
    </row>
    <row r="32" spans="1:50" ht="28.5" x14ac:dyDescent="0.45">
      <c r="A32" s="716"/>
      <c r="B32" s="458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63"/>
        <v>9633.0399999999991</v>
      </c>
      <c r="I32" s="363">
        <v>0.25</v>
      </c>
      <c r="J32" s="362">
        <v>6844</v>
      </c>
      <c r="K32" s="361">
        <f t="shared" si="12"/>
        <v>7187.987891316664</v>
      </c>
      <c r="L32" s="390">
        <f t="shared" si="64"/>
        <v>7646.7956290602815</v>
      </c>
      <c r="M32" s="372">
        <f t="shared" si="13"/>
        <v>65.947463999999997</v>
      </c>
      <c r="N32" s="373">
        <f t="shared" si="14"/>
        <v>9633.0399999999991</v>
      </c>
      <c r="O32" s="378">
        <f t="shared" ref="O32" si="66">N32*0.15</f>
        <v>1444.9559999999999</v>
      </c>
      <c r="P32" s="373">
        <f t="shared" si="36"/>
        <v>8122.1365359999982</v>
      </c>
      <c r="Q32" s="373">
        <f t="shared" si="15"/>
        <v>19266.079999999998</v>
      </c>
      <c r="R32" s="374">
        <f t="shared" ref="R32" si="67">(Q32-10000)*0.2+(10000-N32)*0.15</f>
        <v>1908.2599999999998</v>
      </c>
      <c r="S32" s="373">
        <f t="shared" si="37"/>
        <v>7658.8325359999981</v>
      </c>
      <c r="T32" s="373">
        <f t="shared" si="38"/>
        <v>28899.119999999995</v>
      </c>
      <c r="U32" s="376">
        <f>(T32-25000)*0.27+(25000-Q32)*0.2</f>
        <v>2199.5463999999993</v>
      </c>
      <c r="V32" s="373">
        <f t="shared" si="40"/>
        <v>7367.546135999999</v>
      </c>
      <c r="W32" s="373">
        <f t="shared" si="41"/>
        <v>38532.159999999996</v>
      </c>
      <c r="X32" s="376">
        <f t="shared" si="42"/>
        <v>2600.9207999999999</v>
      </c>
      <c r="Y32" s="373">
        <f t="shared" si="43"/>
        <v>6966.1717359999984</v>
      </c>
      <c r="Z32" s="373">
        <f t="shared" si="44"/>
        <v>48165.2</v>
      </c>
      <c r="AA32" s="376">
        <f t="shared" si="45"/>
        <v>2600.9207999999999</v>
      </c>
      <c r="AB32" s="373">
        <f t="shared" si="46"/>
        <v>6966.1717359999984</v>
      </c>
      <c r="AC32" s="373">
        <f t="shared" si="47"/>
        <v>57798.239999999991</v>
      </c>
      <c r="AD32" s="376">
        <f t="shared" si="65"/>
        <v>2600.9207999999999</v>
      </c>
      <c r="AE32" s="373">
        <f t="shared" si="48"/>
        <v>6966.1717359999984</v>
      </c>
      <c r="AF32" s="373">
        <f t="shared" si="49"/>
        <v>67431.28</v>
      </c>
      <c r="AG32" s="376">
        <f>H32*0.27</f>
        <v>2600.9207999999999</v>
      </c>
      <c r="AH32" s="373">
        <f t="shared" si="50"/>
        <v>6966.1717359999984</v>
      </c>
      <c r="AI32" s="373">
        <f t="shared" si="51"/>
        <v>77064.319999999992</v>
      </c>
      <c r="AJ32" s="376">
        <f>H32*0.27</f>
        <v>2600.9207999999999</v>
      </c>
      <c r="AK32" s="373">
        <f t="shared" si="52"/>
        <v>6966.1717359999984</v>
      </c>
      <c r="AL32" s="373">
        <f t="shared" si="53"/>
        <v>86697.359999999986</v>
      </c>
      <c r="AM32" s="376">
        <f>H32*0.27</f>
        <v>2600.9207999999999</v>
      </c>
      <c r="AN32" s="373">
        <f t="shared" si="54"/>
        <v>6966.1717359999984</v>
      </c>
      <c r="AO32" s="373">
        <f t="shared" si="55"/>
        <v>96330.4</v>
      </c>
      <c r="AP32" s="377">
        <f>(AO32-88000)*0.35+(88000-AL32)*0.27</f>
        <v>3267.3528000000015</v>
      </c>
      <c r="AQ32" s="373">
        <f t="shared" si="56"/>
        <v>8199.2519997999989</v>
      </c>
      <c r="AR32" s="373">
        <f t="shared" si="57"/>
        <v>105963.43999999999</v>
      </c>
      <c r="AS32" s="377">
        <f t="shared" si="58"/>
        <v>3371.5639999999994</v>
      </c>
      <c r="AT32" s="373">
        <f t="shared" si="59"/>
        <v>6195.5285359999989</v>
      </c>
      <c r="AU32" s="373">
        <f t="shared" si="60"/>
        <v>115596.47999999998</v>
      </c>
      <c r="AV32" s="377">
        <f t="shared" si="61"/>
        <v>3371.5639999999994</v>
      </c>
      <c r="AW32" s="373">
        <f t="shared" si="62"/>
        <v>6195.5285359999989</v>
      </c>
      <c r="AX32" s="292"/>
    </row>
    <row r="33" spans="1:50" ht="28.5" x14ac:dyDescent="0.45">
      <c r="A33" s="716"/>
      <c r="B33" s="347" t="s">
        <v>32</v>
      </c>
      <c r="C33" s="283">
        <v>450</v>
      </c>
      <c r="D33" s="238">
        <v>4996.0199999999995</v>
      </c>
      <c r="E33" s="238">
        <v>14988.06</v>
      </c>
      <c r="F33" s="238">
        <f t="shared" si="34"/>
        <v>19984.079999999998</v>
      </c>
      <c r="G33" s="233">
        <v>359</v>
      </c>
      <c r="H33" s="353">
        <f t="shared" si="63"/>
        <v>13629.856</v>
      </c>
      <c r="I33" s="363">
        <v>0.6</v>
      </c>
      <c r="J33" s="362">
        <v>9500</v>
      </c>
      <c r="K33" s="361">
        <f t="shared" si="12"/>
        <v>9884.7973723833347</v>
      </c>
      <c r="L33" s="390">
        <f t="shared" si="64"/>
        <v>10515.741885514186</v>
      </c>
      <c r="M33" s="372">
        <f t="shared" si="13"/>
        <v>92.326449600000004</v>
      </c>
      <c r="N33" s="373">
        <f t="shared" si="14"/>
        <v>13629.856</v>
      </c>
      <c r="O33" s="374">
        <f t="shared" si="35"/>
        <v>2225.9712</v>
      </c>
      <c r="P33" s="373">
        <f t="shared" si="36"/>
        <v>11311.558350400001</v>
      </c>
      <c r="Q33" s="373">
        <f t="shared" si="15"/>
        <v>27259.712</v>
      </c>
      <c r="R33" s="376">
        <f>(Q33-25000)*0.27+(25000-N33)*0.2</f>
        <v>2884.1510399999997</v>
      </c>
      <c r="S33" s="373">
        <f t="shared" si="37"/>
        <v>10653.378510400002</v>
      </c>
      <c r="T33" s="373">
        <f t="shared" si="38"/>
        <v>40889.567999999999</v>
      </c>
      <c r="U33" s="376">
        <f t="shared" si="39"/>
        <v>3680.0611200000003</v>
      </c>
      <c r="V33" s="373">
        <f t="shared" si="40"/>
        <v>9857.4684304000002</v>
      </c>
      <c r="W33" s="373">
        <f t="shared" si="41"/>
        <v>54519.423999999999</v>
      </c>
      <c r="X33" s="376">
        <f t="shared" si="42"/>
        <v>3680.0611200000003</v>
      </c>
      <c r="Y33" s="373">
        <f t="shared" si="43"/>
        <v>9857.4684304000002</v>
      </c>
      <c r="Z33" s="373">
        <f t="shared" si="44"/>
        <v>68149.279999999999</v>
      </c>
      <c r="AA33" s="376">
        <f t="shared" si="45"/>
        <v>3680.0611200000003</v>
      </c>
      <c r="AB33" s="373">
        <f t="shared" si="46"/>
        <v>9857.4684304000002</v>
      </c>
      <c r="AC33" s="373">
        <f t="shared" si="47"/>
        <v>81779.135999999999</v>
      </c>
      <c r="AD33" s="376">
        <f t="shared" si="65"/>
        <v>3680.0611200000003</v>
      </c>
      <c r="AE33" s="373">
        <f t="shared" si="48"/>
        <v>9857.4684304000002</v>
      </c>
      <c r="AF33" s="373">
        <f t="shared" si="49"/>
        <v>95408.991999999998</v>
      </c>
      <c r="AG33" s="377">
        <f>(AF33-88000)*0.35+(88000-AC33)*0.27</f>
        <v>4272.7804799999994</v>
      </c>
      <c r="AH33" s="373">
        <f t="shared" si="50"/>
        <v>9264.7490704000011</v>
      </c>
      <c r="AI33" s="373">
        <f t="shared" si="51"/>
        <v>109038.848</v>
      </c>
      <c r="AJ33" s="377">
        <f>H33*0.35</f>
        <v>4770.4495999999999</v>
      </c>
      <c r="AK33" s="373">
        <f t="shared" si="52"/>
        <v>8767.0799504000006</v>
      </c>
      <c r="AL33" s="373">
        <f t="shared" si="53"/>
        <v>122668.704</v>
      </c>
      <c r="AM33" s="377">
        <f>H33*0.35</f>
        <v>4770.4495999999999</v>
      </c>
      <c r="AN33" s="373">
        <f t="shared" si="54"/>
        <v>8767.0799504000006</v>
      </c>
      <c r="AO33" s="373">
        <f t="shared" si="55"/>
        <v>136298.56</v>
      </c>
      <c r="AP33" s="377">
        <f>H33*0.35</f>
        <v>4770.4495999999999</v>
      </c>
      <c r="AQ33" s="373">
        <f t="shared" si="56"/>
        <v>12169.689014200001</v>
      </c>
      <c r="AR33" s="373">
        <f t="shared" si="57"/>
        <v>149928.416</v>
      </c>
      <c r="AS33" s="377">
        <f t="shared" si="58"/>
        <v>4770.4495999999999</v>
      </c>
      <c r="AT33" s="373">
        <f t="shared" si="59"/>
        <v>8767.0799504000006</v>
      </c>
      <c r="AU33" s="373">
        <f t="shared" si="60"/>
        <v>163558.272</v>
      </c>
      <c r="AV33" s="377">
        <f t="shared" si="61"/>
        <v>4770.4495999999999</v>
      </c>
      <c r="AW33" s="373">
        <f t="shared" si="62"/>
        <v>8767.0799504000006</v>
      </c>
      <c r="AX33" s="292"/>
    </row>
    <row r="34" spans="1:50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34"/>
        <v>19984.079999999998</v>
      </c>
      <c r="G34" s="233">
        <v>359</v>
      </c>
      <c r="H34" s="353">
        <f t="shared" si="63"/>
        <v>11831.288799999998</v>
      </c>
      <c r="I34" s="363">
        <v>0.48</v>
      </c>
      <c r="J34" s="362">
        <v>8300</v>
      </c>
      <c r="K34" s="361">
        <f t="shared" si="12"/>
        <v>8675.141025903331</v>
      </c>
      <c r="L34" s="390">
        <f t="shared" si="64"/>
        <v>9228.8734318120551</v>
      </c>
      <c r="M34" s="372">
        <f t="shared" si="13"/>
        <v>80.455906079999991</v>
      </c>
      <c r="N34" s="373">
        <f t="shared" si="14"/>
        <v>11831.288799999998</v>
      </c>
      <c r="O34" s="374">
        <f t="shared" si="35"/>
        <v>1866.2577599999997</v>
      </c>
      <c r="P34" s="373">
        <f t="shared" si="36"/>
        <v>9884.5751339199978</v>
      </c>
      <c r="Q34" s="373">
        <f t="shared" si="15"/>
        <v>23662.577599999997</v>
      </c>
      <c r="R34" s="376">
        <f>N34*0.2</f>
        <v>2366.25776</v>
      </c>
      <c r="S34" s="373">
        <f t="shared" si="37"/>
        <v>9384.5751339199978</v>
      </c>
      <c r="T34" s="373">
        <f t="shared" si="38"/>
        <v>35493.866399999999</v>
      </c>
      <c r="U34" s="376">
        <f>(T34-25000)*0.27+(25000-Q34)*0.2</f>
        <v>3100.8284080000003</v>
      </c>
      <c r="V34" s="373">
        <f t="shared" si="40"/>
        <v>8650.0044859199988</v>
      </c>
      <c r="W34" s="373">
        <f t="shared" si="41"/>
        <v>47325.155199999994</v>
      </c>
      <c r="X34" s="376">
        <f t="shared" si="42"/>
        <v>3194.4479759999999</v>
      </c>
      <c r="Y34" s="373">
        <f t="shared" si="43"/>
        <v>8556.3849179199988</v>
      </c>
      <c r="Z34" s="373">
        <f t="shared" si="44"/>
        <v>59156.443999999989</v>
      </c>
      <c r="AA34" s="376">
        <f t="shared" si="45"/>
        <v>3194.4479759999999</v>
      </c>
      <c r="AB34" s="373">
        <f t="shared" si="46"/>
        <v>8556.3849179199988</v>
      </c>
      <c r="AC34" s="373">
        <f t="shared" si="47"/>
        <v>70987.732799999998</v>
      </c>
      <c r="AD34" s="376">
        <f t="shared" si="65"/>
        <v>3194.4479759999999</v>
      </c>
      <c r="AE34" s="373">
        <f t="shared" si="48"/>
        <v>8556.3849179199988</v>
      </c>
      <c r="AF34" s="373">
        <f t="shared" si="49"/>
        <v>82819.021599999993</v>
      </c>
      <c r="AG34" s="376">
        <f>H34*0.27</f>
        <v>3194.4479759999999</v>
      </c>
      <c r="AH34" s="373">
        <f t="shared" si="50"/>
        <v>8556.3849179199988</v>
      </c>
      <c r="AI34" s="373">
        <f t="shared" si="51"/>
        <v>94650.310399999988</v>
      </c>
      <c r="AJ34" s="377">
        <f>(AI34-88000)*0.35+(88000-AF34)*0.27</f>
        <v>3726.4728079999977</v>
      </c>
      <c r="AK34" s="373">
        <f t="shared" si="52"/>
        <v>8024.3600859200005</v>
      </c>
      <c r="AL34" s="373">
        <f t="shared" si="53"/>
        <v>106481.59919999998</v>
      </c>
      <c r="AM34" s="377">
        <f>H34*0.35</f>
        <v>4140.9510799999989</v>
      </c>
      <c r="AN34" s="373">
        <f t="shared" si="54"/>
        <v>7609.8818139199993</v>
      </c>
      <c r="AO34" s="373">
        <f t="shared" si="55"/>
        <v>118312.88799999998</v>
      </c>
      <c r="AP34" s="377">
        <f>H34*0.35</f>
        <v>4140.9510799999989</v>
      </c>
      <c r="AQ34" s="373">
        <f t="shared" si="56"/>
        <v>10382.992357719999</v>
      </c>
      <c r="AR34" s="373">
        <f t="shared" si="57"/>
        <v>130144.17679999999</v>
      </c>
      <c r="AS34" s="377">
        <f t="shared" si="58"/>
        <v>4140.9510799999989</v>
      </c>
      <c r="AT34" s="373">
        <f t="shared" si="59"/>
        <v>7609.8818139199993</v>
      </c>
      <c r="AU34" s="373">
        <f t="shared" si="60"/>
        <v>141975.4656</v>
      </c>
      <c r="AV34" s="377">
        <f t="shared" si="61"/>
        <v>4140.9510799999989</v>
      </c>
      <c r="AW34" s="373">
        <f t="shared" si="62"/>
        <v>7609.8818139199993</v>
      </c>
      <c r="AX34" s="292"/>
    </row>
    <row r="35" spans="1:50" ht="28.5" x14ac:dyDescent="0.45">
      <c r="A35" s="716"/>
      <c r="B35" s="458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34"/>
        <v>14988.059999999998</v>
      </c>
      <c r="G35" s="233">
        <v>359</v>
      </c>
      <c r="H35" s="353">
        <f t="shared" si="63"/>
        <v>10132.642</v>
      </c>
      <c r="I35" s="363">
        <v>0.55000000000000004</v>
      </c>
      <c r="J35" s="362">
        <v>7300</v>
      </c>
      <c r="K35" s="361">
        <f t="shared" si="12"/>
        <v>7532.6878097833323</v>
      </c>
      <c r="L35" s="390">
        <f t="shared" si="64"/>
        <v>8013.4976699822691</v>
      </c>
      <c r="M35" s="372">
        <f t="shared" si="13"/>
        <v>69.244837199999992</v>
      </c>
      <c r="N35" s="373">
        <f t="shared" si="14"/>
        <v>10132.642</v>
      </c>
      <c r="O35" s="374">
        <f t="shared" si="35"/>
        <v>1526.5283999999999</v>
      </c>
      <c r="P35" s="373">
        <f t="shared" si="36"/>
        <v>8536.8687628000007</v>
      </c>
      <c r="Q35" s="373">
        <f t="shared" si="15"/>
        <v>20265.284</v>
      </c>
      <c r="R35" s="376">
        <f>N35*0.2</f>
        <v>2026.5284000000001</v>
      </c>
      <c r="S35" s="373">
        <f t="shared" si="37"/>
        <v>8036.8687627999998</v>
      </c>
      <c r="T35" s="373">
        <f t="shared" si="38"/>
        <v>30397.925999999999</v>
      </c>
      <c r="U35" s="376">
        <f>(T35-25000)*0.27+(25000-Q35)*0.2</f>
        <v>2404.3832200000002</v>
      </c>
      <c r="V35" s="373">
        <f t="shared" si="40"/>
        <v>7659.0139428000002</v>
      </c>
      <c r="W35" s="373">
        <f t="shared" si="41"/>
        <v>40530.567999999999</v>
      </c>
      <c r="X35" s="376">
        <f t="shared" si="42"/>
        <v>2735.8133400000002</v>
      </c>
      <c r="Y35" s="373">
        <f t="shared" si="43"/>
        <v>7327.5838227999993</v>
      </c>
      <c r="Z35" s="373">
        <f t="shared" si="44"/>
        <v>50663.21</v>
      </c>
      <c r="AA35" s="376">
        <f t="shared" si="45"/>
        <v>2735.8133400000002</v>
      </c>
      <c r="AB35" s="373">
        <f t="shared" si="46"/>
        <v>7327.5838227999993</v>
      </c>
      <c r="AC35" s="373">
        <f t="shared" si="47"/>
        <v>60795.851999999999</v>
      </c>
      <c r="AD35" s="376">
        <f t="shared" si="65"/>
        <v>2735.8133400000002</v>
      </c>
      <c r="AE35" s="373">
        <f t="shared" si="48"/>
        <v>7327.5838227999993</v>
      </c>
      <c r="AF35" s="373">
        <f t="shared" si="49"/>
        <v>70928.494000000006</v>
      </c>
      <c r="AG35" s="376">
        <f>H35*0.27</f>
        <v>2735.8133400000002</v>
      </c>
      <c r="AH35" s="373">
        <f t="shared" si="50"/>
        <v>7327.5838227999993</v>
      </c>
      <c r="AI35" s="373">
        <f t="shared" si="51"/>
        <v>81061.135999999999</v>
      </c>
      <c r="AJ35" s="376">
        <f>H35*0.27</f>
        <v>2735.8133400000002</v>
      </c>
      <c r="AK35" s="373">
        <f t="shared" si="52"/>
        <v>7327.5838227999993</v>
      </c>
      <c r="AL35" s="373">
        <f t="shared" si="53"/>
        <v>91193.777999999991</v>
      </c>
      <c r="AM35" s="377">
        <f>(AL35-88000)*0.35+(88000-AI35)*0.27</f>
        <v>2991.3155799999977</v>
      </c>
      <c r="AN35" s="373">
        <f t="shared" si="54"/>
        <v>7072.0815828000023</v>
      </c>
      <c r="AO35" s="373">
        <f t="shared" si="55"/>
        <v>101326.42</v>
      </c>
      <c r="AP35" s="377">
        <f>H35*0.35</f>
        <v>3546.4246999999996</v>
      </c>
      <c r="AQ35" s="373">
        <f t="shared" si="56"/>
        <v>8695.5566266000005</v>
      </c>
      <c r="AR35" s="373">
        <f t="shared" si="57"/>
        <v>111459.06200000001</v>
      </c>
      <c r="AS35" s="377">
        <f t="shared" si="58"/>
        <v>3546.4246999999996</v>
      </c>
      <c r="AT35" s="373">
        <f t="shared" si="59"/>
        <v>6516.9724628000004</v>
      </c>
      <c r="AU35" s="373">
        <f t="shared" si="60"/>
        <v>121591.704</v>
      </c>
      <c r="AV35" s="377">
        <f t="shared" si="61"/>
        <v>3546.4246999999996</v>
      </c>
      <c r="AW35" s="373">
        <f t="shared" si="62"/>
        <v>6516.9724628000004</v>
      </c>
      <c r="AX35" s="292"/>
    </row>
    <row r="36" spans="1:50" ht="28.5" x14ac:dyDescent="0.45">
      <c r="A36" s="716"/>
      <c r="B36" s="458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34"/>
        <v>14988.059999999998</v>
      </c>
      <c r="G36" s="233">
        <v>359</v>
      </c>
      <c r="H36" s="353">
        <f t="shared" si="63"/>
        <v>10132.642</v>
      </c>
      <c r="I36" s="363">
        <v>0.55000000000000004</v>
      </c>
      <c r="J36" s="362">
        <v>7100</v>
      </c>
      <c r="K36" s="361">
        <f t="shared" si="12"/>
        <v>7351.1391294666655</v>
      </c>
      <c r="L36" s="390">
        <f t="shared" si="64"/>
        <v>7820.3607760283676</v>
      </c>
      <c r="M36" s="372">
        <f t="shared" si="13"/>
        <v>69.244837199999992</v>
      </c>
      <c r="N36" s="373">
        <f t="shared" si="14"/>
        <v>10132.642</v>
      </c>
      <c r="O36" s="374">
        <f t="shared" si="35"/>
        <v>1526.5283999999999</v>
      </c>
      <c r="P36" s="373">
        <f t="shared" si="36"/>
        <v>8536.8687628000007</v>
      </c>
      <c r="Q36" s="373">
        <f t="shared" si="15"/>
        <v>20265.284</v>
      </c>
      <c r="R36" s="376">
        <f>N36*0.2</f>
        <v>2026.5284000000001</v>
      </c>
      <c r="S36" s="373">
        <f t="shared" si="37"/>
        <v>8036.8687627999998</v>
      </c>
      <c r="T36" s="373">
        <f t="shared" si="38"/>
        <v>30397.925999999999</v>
      </c>
      <c r="U36" s="376">
        <f>(T36-25000)*0.27+(25000-Q36)*0.2</f>
        <v>2404.3832200000002</v>
      </c>
      <c r="V36" s="373">
        <f t="shared" si="40"/>
        <v>7659.0139428000002</v>
      </c>
      <c r="W36" s="373">
        <f t="shared" si="41"/>
        <v>40530.567999999999</v>
      </c>
      <c r="X36" s="376">
        <f t="shared" si="42"/>
        <v>2735.8133400000002</v>
      </c>
      <c r="Y36" s="373">
        <f t="shared" si="43"/>
        <v>7327.5838227999993</v>
      </c>
      <c r="Z36" s="373">
        <f t="shared" si="44"/>
        <v>50663.21</v>
      </c>
      <c r="AA36" s="376">
        <f t="shared" si="45"/>
        <v>2735.8133400000002</v>
      </c>
      <c r="AB36" s="373">
        <f t="shared" si="46"/>
        <v>7327.5838227999993</v>
      </c>
      <c r="AC36" s="373">
        <f t="shared" si="47"/>
        <v>60795.851999999999</v>
      </c>
      <c r="AD36" s="376">
        <f t="shared" si="65"/>
        <v>2735.8133400000002</v>
      </c>
      <c r="AE36" s="373">
        <f t="shared" si="48"/>
        <v>7327.5838227999993</v>
      </c>
      <c r="AF36" s="373">
        <f t="shared" si="49"/>
        <v>70928.494000000006</v>
      </c>
      <c r="AG36" s="376">
        <f>H36*0.27</f>
        <v>2735.8133400000002</v>
      </c>
      <c r="AH36" s="373">
        <f t="shared" si="50"/>
        <v>7327.5838227999993</v>
      </c>
      <c r="AI36" s="373">
        <f t="shared" si="51"/>
        <v>81061.135999999999</v>
      </c>
      <c r="AJ36" s="376">
        <f>H36*0.27</f>
        <v>2735.8133400000002</v>
      </c>
      <c r="AK36" s="373">
        <f t="shared" si="52"/>
        <v>7327.5838227999993</v>
      </c>
      <c r="AL36" s="373">
        <f t="shared" si="53"/>
        <v>91193.777999999991</v>
      </c>
      <c r="AM36" s="377">
        <f>(AL36-88000)*0.35+(88000-AI36)*0.27</f>
        <v>2991.3155799999977</v>
      </c>
      <c r="AN36" s="373">
        <f t="shared" si="54"/>
        <v>7072.0815828000023</v>
      </c>
      <c r="AO36" s="373">
        <f t="shared" si="55"/>
        <v>101326.42</v>
      </c>
      <c r="AP36" s="377">
        <f>H36*0.35</f>
        <v>3546.4246999999996</v>
      </c>
      <c r="AQ36" s="373">
        <f>H36-M36-AP36</f>
        <v>6516.9724628000004</v>
      </c>
      <c r="AR36" s="373">
        <f t="shared" si="57"/>
        <v>111459.06200000001</v>
      </c>
      <c r="AS36" s="377">
        <f t="shared" si="58"/>
        <v>3546.4246999999996</v>
      </c>
      <c r="AT36" s="373">
        <f t="shared" si="59"/>
        <v>6516.9724628000004</v>
      </c>
      <c r="AU36" s="373">
        <f t="shared" si="60"/>
        <v>121591.704</v>
      </c>
      <c r="AV36" s="377">
        <f t="shared" si="61"/>
        <v>3546.4246999999996</v>
      </c>
      <c r="AW36" s="373">
        <f t="shared" si="62"/>
        <v>6516.9724628000004</v>
      </c>
      <c r="AX36" s="292"/>
    </row>
    <row r="37" spans="1:50" ht="28.5" x14ac:dyDescent="0.45">
      <c r="A37" s="716"/>
      <c r="B37" s="458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34"/>
        <v>14988.059999999998</v>
      </c>
      <c r="G37" s="233">
        <v>359</v>
      </c>
      <c r="H37" s="353">
        <f t="shared" si="63"/>
        <v>9633.0399999999991</v>
      </c>
      <c r="I37" s="363">
        <v>0.5</v>
      </c>
      <c r="J37" s="362">
        <v>6900</v>
      </c>
      <c r="K37" s="361">
        <f t="shared" si="12"/>
        <v>7187.987891316664</v>
      </c>
      <c r="L37" s="390">
        <f t="shared" si="64"/>
        <v>7646.7956290602815</v>
      </c>
      <c r="M37" s="372">
        <f t="shared" si="13"/>
        <v>65.947463999999997</v>
      </c>
      <c r="N37" s="373">
        <f t="shared" si="14"/>
        <v>9633.0399999999991</v>
      </c>
      <c r="O37" s="378">
        <f t="shared" ref="O37:O38" si="68">N37*0.15</f>
        <v>1444.9559999999999</v>
      </c>
      <c r="P37" s="373">
        <f t="shared" si="36"/>
        <v>8122.1365359999982</v>
      </c>
      <c r="Q37" s="373">
        <f t="shared" si="15"/>
        <v>19266.079999999998</v>
      </c>
      <c r="R37" s="374">
        <f t="shared" ref="R37:R38" si="69">(Q37-10000)*0.2+(10000-N37)*0.15</f>
        <v>1908.2599999999998</v>
      </c>
      <c r="S37" s="373">
        <f t="shared" si="37"/>
        <v>7658.8325359999981</v>
      </c>
      <c r="T37" s="373">
        <f t="shared" si="38"/>
        <v>28899.119999999995</v>
      </c>
      <c r="U37" s="376">
        <f>(T37-25000)*0.27+(25000-Q37)*0.2</f>
        <v>2199.5463999999993</v>
      </c>
      <c r="V37" s="373">
        <f t="shared" si="40"/>
        <v>7367.546135999999</v>
      </c>
      <c r="W37" s="373">
        <f t="shared" si="41"/>
        <v>38532.159999999996</v>
      </c>
      <c r="X37" s="376">
        <f t="shared" si="42"/>
        <v>2600.9207999999999</v>
      </c>
      <c r="Y37" s="373">
        <f t="shared" si="43"/>
        <v>6966.1717359999984</v>
      </c>
      <c r="Z37" s="373">
        <f t="shared" si="44"/>
        <v>48165.2</v>
      </c>
      <c r="AA37" s="376">
        <f t="shared" si="45"/>
        <v>2600.9207999999999</v>
      </c>
      <c r="AB37" s="373">
        <f t="shared" si="46"/>
        <v>6966.1717359999984</v>
      </c>
      <c r="AC37" s="373">
        <f t="shared" si="47"/>
        <v>57798.239999999991</v>
      </c>
      <c r="AD37" s="376">
        <f t="shared" si="65"/>
        <v>2600.9207999999999</v>
      </c>
      <c r="AE37" s="373">
        <f t="shared" si="48"/>
        <v>6966.1717359999984</v>
      </c>
      <c r="AF37" s="373">
        <f t="shared" si="49"/>
        <v>67431.28</v>
      </c>
      <c r="AG37" s="376">
        <f>H37*0.27</f>
        <v>2600.9207999999999</v>
      </c>
      <c r="AH37" s="373">
        <f t="shared" si="50"/>
        <v>6966.1717359999984</v>
      </c>
      <c r="AI37" s="373">
        <f t="shared" si="51"/>
        <v>77064.319999999992</v>
      </c>
      <c r="AJ37" s="376">
        <f>H37*0.27</f>
        <v>2600.9207999999999</v>
      </c>
      <c r="AK37" s="373">
        <f t="shared" si="52"/>
        <v>6966.1717359999984</v>
      </c>
      <c r="AL37" s="373">
        <f t="shared" si="53"/>
        <v>86697.359999999986</v>
      </c>
      <c r="AM37" s="376">
        <f>H37*0.27</f>
        <v>2600.9207999999999</v>
      </c>
      <c r="AN37" s="373">
        <f t="shared" si="54"/>
        <v>6966.1717359999984</v>
      </c>
      <c r="AO37" s="373">
        <f t="shared" si="55"/>
        <v>96330.4</v>
      </c>
      <c r="AP37" s="377">
        <f>(AO37-88000)*0.35+(88000-AL37)*0.27</f>
        <v>3267.3528000000015</v>
      </c>
      <c r="AQ37" s="373">
        <f t="shared" ref="AQ37:AQ54" si="70">H37-M37-$AP$26</f>
        <v>8199.2519997999989</v>
      </c>
      <c r="AR37" s="373">
        <f t="shared" si="57"/>
        <v>105963.43999999999</v>
      </c>
      <c r="AS37" s="377">
        <f t="shared" si="58"/>
        <v>3371.5639999999994</v>
      </c>
      <c r="AT37" s="373">
        <f t="shared" si="59"/>
        <v>6195.5285359999989</v>
      </c>
      <c r="AU37" s="373">
        <f t="shared" si="60"/>
        <v>115596.47999999998</v>
      </c>
      <c r="AV37" s="377">
        <f t="shared" si="61"/>
        <v>3371.5639999999994</v>
      </c>
      <c r="AW37" s="373">
        <f t="shared" si="62"/>
        <v>6195.5285359999989</v>
      </c>
      <c r="AX37" s="292"/>
    </row>
    <row r="38" spans="1:50" ht="28.5" x14ac:dyDescent="0.45">
      <c r="A38" s="716"/>
      <c r="B38" s="392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34"/>
        <v>14988.059999999998</v>
      </c>
      <c r="G38" s="233">
        <v>359</v>
      </c>
      <c r="H38" s="353">
        <f t="shared" si="63"/>
        <v>6535.507599999999</v>
      </c>
      <c r="I38" s="391">
        <v>0.19</v>
      </c>
      <c r="J38" s="362">
        <v>4900</v>
      </c>
      <c r="K38" s="361">
        <f t="shared" si="12"/>
        <v>5005.9790074899993</v>
      </c>
      <c r="L38" s="390">
        <f t="shared" si="64"/>
        <v>5325.5095824361697</v>
      </c>
      <c r="M38" s="372">
        <f t="shared" si="13"/>
        <v>45.503750159999996</v>
      </c>
      <c r="N38" s="373">
        <f t="shared" si="14"/>
        <v>6535.507599999999</v>
      </c>
      <c r="O38" s="378">
        <f t="shared" si="68"/>
        <v>980.32613999999978</v>
      </c>
      <c r="P38" s="373">
        <f t="shared" si="36"/>
        <v>5509.6777098399989</v>
      </c>
      <c r="Q38" s="373">
        <f t="shared" si="15"/>
        <v>13071.015199999998</v>
      </c>
      <c r="R38" s="374">
        <f t="shared" si="69"/>
        <v>1133.8768999999998</v>
      </c>
      <c r="S38" s="373">
        <f t="shared" si="37"/>
        <v>5356.1269498399997</v>
      </c>
      <c r="T38" s="373">
        <f t="shared" si="38"/>
        <v>19606.522799999999</v>
      </c>
      <c r="U38" s="374">
        <f>N38*0.2</f>
        <v>1307.1015199999999</v>
      </c>
      <c r="V38" s="373">
        <f t="shared" si="40"/>
        <v>5182.9023298399989</v>
      </c>
      <c r="W38" s="373">
        <f t="shared" si="41"/>
        <v>26142.030399999996</v>
      </c>
      <c r="X38" s="376">
        <f>(W38-25000)*0.27+(25000-T38)*0.2</f>
        <v>1387.0436479999992</v>
      </c>
      <c r="Y38" s="373">
        <f t="shared" si="43"/>
        <v>5102.9602018400001</v>
      </c>
      <c r="Z38" s="373">
        <f t="shared" si="44"/>
        <v>32677.537999999993</v>
      </c>
      <c r="AA38" s="376">
        <f t="shared" si="45"/>
        <v>1764.5870519999999</v>
      </c>
      <c r="AB38" s="373">
        <f t="shared" si="46"/>
        <v>4725.4167978399992</v>
      </c>
      <c r="AC38" s="373">
        <f t="shared" si="47"/>
        <v>39213.045599999998</v>
      </c>
      <c r="AD38" s="376">
        <f t="shared" si="65"/>
        <v>1764.5870519999999</v>
      </c>
      <c r="AE38" s="373">
        <f t="shared" si="48"/>
        <v>4725.4167978399992</v>
      </c>
      <c r="AF38" s="373">
        <f t="shared" si="49"/>
        <v>45748.553199999995</v>
      </c>
      <c r="AG38" s="376">
        <f>H38*0.27</f>
        <v>1764.5870519999999</v>
      </c>
      <c r="AH38" s="373">
        <f t="shared" si="50"/>
        <v>4725.4167978399992</v>
      </c>
      <c r="AI38" s="373">
        <f t="shared" si="51"/>
        <v>52284.060799999992</v>
      </c>
      <c r="AJ38" s="376">
        <f>H38*0.27</f>
        <v>1764.5870519999999</v>
      </c>
      <c r="AK38" s="373">
        <f t="shared" si="52"/>
        <v>4725.4167978399992</v>
      </c>
      <c r="AL38" s="373">
        <f t="shared" si="53"/>
        <v>58819.568399999989</v>
      </c>
      <c r="AM38" s="376">
        <f>H38*0.27</f>
        <v>1764.5870519999999</v>
      </c>
      <c r="AN38" s="373">
        <f t="shared" si="54"/>
        <v>4725.4167978399992</v>
      </c>
      <c r="AO38" s="373">
        <f t="shared" si="55"/>
        <v>65355.075999999986</v>
      </c>
      <c r="AP38" s="376">
        <f>H38*0.27</f>
        <v>1764.5870519999999</v>
      </c>
      <c r="AQ38" s="373">
        <f t="shared" si="70"/>
        <v>5122.1633136399996</v>
      </c>
      <c r="AR38" s="373">
        <f t="shared" si="57"/>
        <v>71890.583599999984</v>
      </c>
      <c r="AS38" s="376">
        <f>H38*0.27</f>
        <v>1764.5870519999999</v>
      </c>
      <c r="AT38" s="373">
        <f t="shared" si="59"/>
        <v>4725.4167978399992</v>
      </c>
      <c r="AU38" s="373">
        <f t="shared" si="60"/>
        <v>78426.091199999995</v>
      </c>
      <c r="AV38" s="376">
        <f>H38*0.27</f>
        <v>1764.5870519999999</v>
      </c>
      <c r="AW38" s="373">
        <f t="shared" si="62"/>
        <v>4725.4167978399992</v>
      </c>
      <c r="AX38" s="292"/>
    </row>
    <row r="39" spans="1:50" ht="28.5" x14ac:dyDescent="0.45">
      <c r="A39" s="716" t="s">
        <v>29</v>
      </c>
      <c r="B39" s="458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34"/>
        <v>24980.1</v>
      </c>
      <c r="G39" s="233">
        <v>359</v>
      </c>
      <c r="H39" s="353">
        <f t="shared" si="63"/>
        <v>17027.149599999997</v>
      </c>
      <c r="I39" s="363">
        <v>0.62</v>
      </c>
      <c r="J39" s="362">
        <v>11600</v>
      </c>
      <c r="K39" s="361">
        <f t="shared" si="12"/>
        <v>12169.70380462333</v>
      </c>
      <c r="L39" s="390">
        <f t="shared" si="64"/>
        <v>12946.493409173756</v>
      </c>
      <c r="M39" s="372">
        <f t="shared" si="13"/>
        <v>114.74858735999997</v>
      </c>
      <c r="N39" s="373">
        <f t="shared" si="14"/>
        <v>17027.149599999997</v>
      </c>
      <c r="O39" s="374">
        <f t="shared" si="35"/>
        <v>2905.4299199999996</v>
      </c>
      <c r="P39" s="373">
        <f t="shared" si="36"/>
        <v>14006.971092639997</v>
      </c>
      <c r="Q39" s="373">
        <f t="shared" si="15"/>
        <v>34054.299199999994</v>
      </c>
      <c r="R39" s="376">
        <f>(Q39-25000)*0.27+(25000-N39)*0.2</f>
        <v>4039.2308639999992</v>
      </c>
      <c r="S39" s="373">
        <f t="shared" si="37"/>
        <v>12873.170148639996</v>
      </c>
      <c r="T39" s="373">
        <f t="shared" si="38"/>
        <v>51081.448799999991</v>
      </c>
      <c r="U39" s="376">
        <f t="shared" ref="U39" si="71">N39*0.27</f>
        <v>4597.3303919999998</v>
      </c>
      <c r="V39" s="373">
        <f t="shared" si="40"/>
        <v>12315.070620639995</v>
      </c>
      <c r="W39" s="373">
        <f t="shared" si="41"/>
        <v>68108.598399999988</v>
      </c>
      <c r="X39" s="376">
        <f t="shared" ref="X39:X45" si="72">H39*0.27</f>
        <v>4597.3303919999998</v>
      </c>
      <c r="Y39" s="373">
        <f t="shared" si="43"/>
        <v>12315.070620639995</v>
      </c>
      <c r="Z39" s="373">
        <f t="shared" si="44"/>
        <v>85135.747999999992</v>
      </c>
      <c r="AA39" s="376">
        <f t="shared" si="45"/>
        <v>4597.3303919999998</v>
      </c>
      <c r="AB39" s="373">
        <f t="shared" si="46"/>
        <v>12315.070620639995</v>
      </c>
      <c r="AC39" s="373">
        <f t="shared" si="47"/>
        <v>102162.89759999998</v>
      </c>
      <c r="AD39" s="377">
        <f>(AC39-88000)*0.35+(88000-Z39)*0.27</f>
        <v>5730.3621999999959</v>
      </c>
      <c r="AE39" s="373">
        <f t="shared" si="48"/>
        <v>11182.038812639999</v>
      </c>
      <c r="AF39" s="373">
        <f t="shared" si="49"/>
        <v>119190.04719999997</v>
      </c>
      <c r="AG39" s="377">
        <f>H39*0.35</f>
        <v>5959.5023599999986</v>
      </c>
      <c r="AH39" s="373">
        <f t="shared" si="50"/>
        <v>10952.898652639997</v>
      </c>
      <c r="AI39" s="373">
        <f t="shared" si="51"/>
        <v>136217.19679999998</v>
      </c>
      <c r="AJ39" s="377">
        <f>H39*0.35</f>
        <v>5959.5023599999986</v>
      </c>
      <c r="AK39" s="373">
        <f t="shared" si="52"/>
        <v>10952.898652639997</v>
      </c>
      <c r="AL39" s="373">
        <f t="shared" si="53"/>
        <v>153244.34639999998</v>
      </c>
      <c r="AM39" s="377">
        <f>H39*0.35</f>
        <v>5959.5023599999986</v>
      </c>
      <c r="AN39" s="373">
        <f t="shared" si="54"/>
        <v>10952.898652639997</v>
      </c>
      <c r="AO39" s="373">
        <f t="shared" si="55"/>
        <v>170271.49599999998</v>
      </c>
      <c r="AP39" s="377">
        <f>H39*0.35</f>
        <v>5959.5023599999986</v>
      </c>
      <c r="AQ39" s="373">
        <f t="shared" si="70"/>
        <v>15544.560476439996</v>
      </c>
      <c r="AR39" s="373">
        <f t="shared" si="57"/>
        <v>187298.64559999996</v>
      </c>
      <c r="AS39" s="377">
        <f t="shared" ref="AS39:AS45" si="73">H39*0.35</f>
        <v>5959.5023599999986</v>
      </c>
      <c r="AT39" s="373">
        <f t="shared" si="59"/>
        <v>10952.898652639997</v>
      </c>
      <c r="AU39" s="373">
        <f t="shared" si="60"/>
        <v>204325.79519999996</v>
      </c>
      <c r="AV39" s="377">
        <f t="shared" ref="AV39:AV45" si="74">H39*0.35</f>
        <v>5959.5023599999986</v>
      </c>
      <c r="AW39" s="373">
        <f t="shared" si="62"/>
        <v>10952.898652639997</v>
      </c>
      <c r="AX39" s="292"/>
    </row>
    <row r="40" spans="1:50" ht="28.5" x14ac:dyDescent="0.45">
      <c r="A40" s="716"/>
      <c r="B40" s="458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34"/>
        <v>24980.1</v>
      </c>
      <c r="G40" s="233">
        <v>359</v>
      </c>
      <c r="H40" s="353">
        <f t="shared" si="63"/>
        <v>11231.7664</v>
      </c>
      <c r="I40" s="363">
        <v>0.33</v>
      </c>
      <c r="J40" s="362">
        <v>7900</v>
      </c>
      <c r="K40" s="361">
        <f t="shared" si="12"/>
        <v>8271.9222437433327</v>
      </c>
      <c r="L40" s="390">
        <f t="shared" si="64"/>
        <v>8799.9172805780145</v>
      </c>
      <c r="M40" s="372">
        <f t="shared" si="13"/>
        <v>76.499058239999997</v>
      </c>
      <c r="N40" s="373">
        <f t="shared" si="14"/>
        <v>11231.7664</v>
      </c>
      <c r="O40" s="374">
        <f t="shared" si="35"/>
        <v>1746.35328</v>
      </c>
      <c r="P40" s="373">
        <f t="shared" si="36"/>
        <v>9408.9140617600005</v>
      </c>
      <c r="Q40" s="373">
        <f t="shared" si="15"/>
        <v>22463.532800000001</v>
      </c>
      <c r="R40" s="374">
        <f>H40*0.2</f>
        <v>2246.3532800000003</v>
      </c>
      <c r="S40" s="373">
        <f t="shared" si="37"/>
        <v>8908.9140617599987</v>
      </c>
      <c r="T40" s="373">
        <f t="shared" si="38"/>
        <v>33695.299200000001</v>
      </c>
      <c r="U40" s="376">
        <f t="shared" ref="U40:U45" si="75">(T40-25000)*0.27+(25000-Q40)*0.2</f>
        <v>2855.0242240000002</v>
      </c>
      <c r="V40" s="373">
        <f t="shared" si="40"/>
        <v>8300.2431177599992</v>
      </c>
      <c r="W40" s="373">
        <f t="shared" si="41"/>
        <v>44927.065600000002</v>
      </c>
      <c r="X40" s="376">
        <f t="shared" si="72"/>
        <v>3032.5769280000004</v>
      </c>
      <c r="Y40" s="373">
        <f t="shared" si="43"/>
        <v>8122.6904137599995</v>
      </c>
      <c r="Z40" s="373">
        <f t="shared" si="44"/>
        <v>56158.832000000002</v>
      </c>
      <c r="AA40" s="376">
        <f t="shared" si="45"/>
        <v>3032.5769280000004</v>
      </c>
      <c r="AB40" s="373">
        <f t="shared" si="46"/>
        <v>8122.6904137599995</v>
      </c>
      <c r="AC40" s="373">
        <f t="shared" si="47"/>
        <v>67390.598400000003</v>
      </c>
      <c r="AD40" s="376">
        <f t="shared" ref="AD40:AD51" si="76">H40*0.27</f>
        <v>3032.5769280000004</v>
      </c>
      <c r="AE40" s="373">
        <f t="shared" si="48"/>
        <v>8122.6904137599995</v>
      </c>
      <c r="AF40" s="373">
        <f t="shared" si="49"/>
        <v>78622.36480000001</v>
      </c>
      <c r="AG40" s="376">
        <f>H40*0.27</f>
        <v>3032.5769280000004</v>
      </c>
      <c r="AH40" s="373">
        <f t="shared" si="50"/>
        <v>8122.6904137599995</v>
      </c>
      <c r="AI40" s="373">
        <f t="shared" si="51"/>
        <v>89854.131200000003</v>
      </c>
      <c r="AJ40" s="376">
        <f>H40*0.27</f>
        <v>3032.5769280000004</v>
      </c>
      <c r="AK40" s="373">
        <f t="shared" si="52"/>
        <v>8122.6904137599995</v>
      </c>
      <c r="AL40" s="373">
        <f t="shared" si="53"/>
        <v>101085.8976</v>
      </c>
      <c r="AM40" s="377">
        <f>(AL40-88000)*0.35+(88000-AI40)*0.27</f>
        <v>4079.4487359999971</v>
      </c>
      <c r="AN40" s="373">
        <f t="shared" si="54"/>
        <v>7075.8186057600033</v>
      </c>
      <c r="AO40" s="373">
        <f t="shared" si="55"/>
        <v>112317.664</v>
      </c>
      <c r="AP40" s="377">
        <f>H40*0.35</f>
        <v>3931.1182399999998</v>
      </c>
      <c r="AQ40" s="373">
        <f t="shared" si="70"/>
        <v>9787.4268055600005</v>
      </c>
      <c r="AR40" s="373">
        <f t="shared" si="57"/>
        <v>123549.43040000001</v>
      </c>
      <c r="AS40" s="377">
        <f t="shared" si="73"/>
        <v>3931.1182399999998</v>
      </c>
      <c r="AT40" s="373">
        <f t="shared" si="59"/>
        <v>7224.1491017600001</v>
      </c>
      <c r="AU40" s="373">
        <f t="shared" si="60"/>
        <v>134781.19680000001</v>
      </c>
      <c r="AV40" s="377">
        <f t="shared" si="74"/>
        <v>3931.1182399999998</v>
      </c>
      <c r="AW40" s="373">
        <f t="shared" si="62"/>
        <v>7224.1491017600001</v>
      </c>
      <c r="AX40" s="292"/>
    </row>
    <row r="41" spans="1:50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34"/>
        <v>19984.079999999998</v>
      </c>
      <c r="G41" s="233">
        <v>359</v>
      </c>
      <c r="H41" s="353">
        <f t="shared" si="63"/>
        <v>12880.453000000001</v>
      </c>
      <c r="I41" s="363">
        <v>0.55000000000000004</v>
      </c>
      <c r="J41" s="362">
        <v>9000</v>
      </c>
      <c r="K41" s="361">
        <f t="shared" si="12"/>
        <v>9380.7738946833324</v>
      </c>
      <c r="L41" s="390">
        <f t="shared" si="64"/>
        <v>9979.5466964716306</v>
      </c>
      <c r="M41" s="372">
        <f t="shared" si="13"/>
        <v>87.380389800000003</v>
      </c>
      <c r="N41" s="373">
        <f t="shared" si="14"/>
        <v>12880.453000000001</v>
      </c>
      <c r="O41" s="374">
        <f t="shared" si="35"/>
        <v>2076.0906000000004</v>
      </c>
      <c r="P41" s="373">
        <f t="shared" si="36"/>
        <v>10716.982010200001</v>
      </c>
      <c r="Q41" s="373">
        <f t="shared" si="15"/>
        <v>25760.906000000003</v>
      </c>
      <c r="R41" s="374">
        <f>H41*0.2</f>
        <v>2576.0906000000004</v>
      </c>
      <c r="S41" s="373">
        <f t="shared" si="37"/>
        <v>10216.982010200001</v>
      </c>
      <c r="T41" s="373">
        <f t="shared" si="38"/>
        <v>38641.359000000004</v>
      </c>
      <c r="U41" s="376">
        <f t="shared" si="75"/>
        <v>3530.9857300000008</v>
      </c>
      <c r="V41" s="373">
        <f t="shared" si="40"/>
        <v>9262.0868802000005</v>
      </c>
      <c r="W41" s="373">
        <f t="shared" si="41"/>
        <v>51521.812000000005</v>
      </c>
      <c r="X41" s="376">
        <f t="shared" si="72"/>
        <v>3477.7223100000006</v>
      </c>
      <c r="Y41" s="373">
        <f t="shared" si="43"/>
        <v>9315.3503001999998</v>
      </c>
      <c r="Z41" s="373">
        <f t="shared" si="44"/>
        <v>64402.265000000007</v>
      </c>
      <c r="AA41" s="376">
        <f t="shared" si="45"/>
        <v>3477.7223100000006</v>
      </c>
      <c r="AB41" s="373">
        <f t="shared" si="46"/>
        <v>9315.3503001999998</v>
      </c>
      <c r="AC41" s="373">
        <f t="shared" si="47"/>
        <v>77282.718000000008</v>
      </c>
      <c r="AD41" s="376">
        <f t="shared" si="76"/>
        <v>3477.7223100000006</v>
      </c>
      <c r="AE41" s="373">
        <f t="shared" si="48"/>
        <v>9315.3503001999998</v>
      </c>
      <c r="AF41" s="373">
        <f t="shared" si="49"/>
        <v>90163.171000000002</v>
      </c>
      <c r="AG41" s="376">
        <f>H41*0.27</f>
        <v>3477.7223100000006</v>
      </c>
      <c r="AH41" s="373">
        <f t="shared" si="50"/>
        <v>9315.3503001999998</v>
      </c>
      <c r="AI41" s="373">
        <f t="shared" si="51"/>
        <v>103043.62400000001</v>
      </c>
      <c r="AJ41" s="377">
        <f>(AI41-88000)*0.35+(88000-AF41)*0.27</f>
        <v>4681.2122300000028</v>
      </c>
      <c r="AK41" s="373">
        <f t="shared" si="52"/>
        <v>8111.860380199998</v>
      </c>
      <c r="AL41" s="373">
        <f t="shared" si="53"/>
        <v>115924.07700000002</v>
      </c>
      <c r="AM41" s="377">
        <f>H41*0.35</f>
        <v>4508.1585500000001</v>
      </c>
      <c r="AN41" s="373">
        <f t="shared" si="54"/>
        <v>8284.9140602000007</v>
      </c>
      <c r="AO41" s="373">
        <f t="shared" si="55"/>
        <v>128804.53000000001</v>
      </c>
      <c r="AP41" s="377">
        <f>H41*0.35</f>
        <v>4508.1585500000001</v>
      </c>
      <c r="AQ41" s="373">
        <f t="shared" si="70"/>
        <v>11425.232074000001</v>
      </c>
      <c r="AR41" s="373">
        <f t="shared" si="57"/>
        <v>141684.98300000001</v>
      </c>
      <c r="AS41" s="377">
        <f t="shared" si="73"/>
        <v>4508.1585500000001</v>
      </c>
      <c r="AT41" s="373">
        <f t="shared" si="59"/>
        <v>8284.9140602000007</v>
      </c>
      <c r="AU41" s="373">
        <f t="shared" si="60"/>
        <v>154565.43600000002</v>
      </c>
      <c r="AV41" s="377">
        <f t="shared" si="74"/>
        <v>4508.1585500000001</v>
      </c>
      <c r="AW41" s="373">
        <f t="shared" si="62"/>
        <v>8284.9140602000007</v>
      </c>
      <c r="AX41" s="292"/>
    </row>
    <row r="42" spans="1:50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34"/>
        <v>19984.079999999998</v>
      </c>
      <c r="G42" s="233">
        <v>359</v>
      </c>
      <c r="H42" s="353">
        <f t="shared" si="63"/>
        <v>11231.7664</v>
      </c>
      <c r="I42" s="363">
        <v>0.44</v>
      </c>
      <c r="J42" s="362">
        <v>8000</v>
      </c>
      <c r="K42" s="361">
        <f t="shared" si="12"/>
        <v>8271.9222437433345</v>
      </c>
      <c r="L42" s="390">
        <f t="shared" si="64"/>
        <v>8799.9172805780163</v>
      </c>
      <c r="M42" s="372">
        <f t="shared" si="13"/>
        <v>76.499058239999997</v>
      </c>
      <c r="N42" s="373">
        <f t="shared" si="14"/>
        <v>11231.7664</v>
      </c>
      <c r="O42" s="374">
        <f t="shared" si="35"/>
        <v>1746.35328</v>
      </c>
      <c r="P42" s="373">
        <f t="shared" si="36"/>
        <v>9408.9140617600005</v>
      </c>
      <c r="Q42" s="373">
        <f t="shared" si="15"/>
        <v>22463.532800000001</v>
      </c>
      <c r="R42" s="374">
        <f>H42*0.2</f>
        <v>2246.3532800000003</v>
      </c>
      <c r="S42" s="373">
        <f t="shared" si="37"/>
        <v>8908.9140617599987</v>
      </c>
      <c r="T42" s="373">
        <f t="shared" si="38"/>
        <v>33695.299200000001</v>
      </c>
      <c r="U42" s="376">
        <f t="shared" si="75"/>
        <v>2855.0242240000002</v>
      </c>
      <c r="V42" s="373">
        <f t="shared" si="40"/>
        <v>8300.2431177599992</v>
      </c>
      <c r="W42" s="373">
        <f t="shared" si="41"/>
        <v>44927.065600000002</v>
      </c>
      <c r="X42" s="376">
        <f t="shared" si="72"/>
        <v>3032.5769280000004</v>
      </c>
      <c r="Y42" s="373">
        <f t="shared" si="43"/>
        <v>8122.6904137599995</v>
      </c>
      <c r="Z42" s="373">
        <f t="shared" si="44"/>
        <v>56158.832000000002</v>
      </c>
      <c r="AA42" s="376">
        <f t="shared" si="45"/>
        <v>3032.5769280000004</v>
      </c>
      <c r="AB42" s="373">
        <f t="shared" si="46"/>
        <v>8122.6904137599995</v>
      </c>
      <c r="AC42" s="373">
        <f t="shared" si="47"/>
        <v>67390.598400000003</v>
      </c>
      <c r="AD42" s="376">
        <f t="shared" si="76"/>
        <v>3032.5769280000004</v>
      </c>
      <c r="AE42" s="373">
        <f t="shared" si="48"/>
        <v>8122.6904137599995</v>
      </c>
      <c r="AF42" s="373">
        <f t="shared" si="49"/>
        <v>78622.36480000001</v>
      </c>
      <c r="AG42" s="376">
        <f t="shared" ref="AG42:AG52" si="77">H42*0.27</f>
        <v>3032.5769280000004</v>
      </c>
      <c r="AH42" s="373">
        <f t="shared" si="50"/>
        <v>8122.6904137599995</v>
      </c>
      <c r="AI42" s="373">
        <f t="shared" si="51"/>
        <v>89854.131200000003</v>
      </c>
      <c r="AJ42" s="377">
        <f>(AI42-88000)*0.35+(88000-AF42)*0.27</f>
        <v>3180.9074239999986</v>
      </c>
      <c r="AK42" s="373">
        <f t="shared" si="52"/>
        <v>7974.3599177600008</v>
      </c>
      <c r="AL42" s="373">
        <f t="shared" si="53"/>
        <v>101085.8976</v>
      </c>
      <c r="AM42" s="377">
        <f>H42*0.35</f>
        <v>3931.1182399999998</v>
      </c>
      <c r="AN42" s="373">
        <f t="shared" si="54"/>
        <v>7224.1491017600001</v>
      </c>
      <c r="AO42" s="373">
        <f t="shared" si="55"/>
        <v>112317.664</v>
      </c>
      <c r="AP42" s="377">
        <f>H42*0.35</f>
        <v>3931.1182399999998</v>
      </c>
      <c r="AQ42" s="373">
        <f t="shared" si="70"/>
        <v>9787.4268055600005</v>
      </c>
      <c r="AR42" s="373">
        <f t="shared" si="57"/>
        <v>123549.43040000001</v>
      </c>
      <c r="AS42" s="377">
        <f t="shared" si="73"/>
        <v>3931.1182399999998</v>
      </c>
      <c r="AT42" s="373">
        <f t="shared" si="59"/>
        <v>7224.1491017600001</v>
      </c>
      <c r="AU42" s="373">
        <f t="shared" si="60"/>
        <v>134781.19680000001</v>
      </c>
      <c r="AV42" s="377">
        <f t="shared" si="74"/>
        <v>3931.1182399999998</v>
      </c>
      <c r="AW42" s="373">
        <f t="shared" si="62"/>
        <v>7224.1491017600001</v>
      </c>
      <c r="AX42" s="292"/>
    </row>
    <row r="43" spans="1:50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34"/>
        <v>19984.079999999998</v>
      </c>
      <c r="G43" s="233">
        <v>359</v>
      </c>
      <c r="H43" s="353">
        <f t="shared" si="63"/>
        <v>9732.9603999999999</v>
      </c>
      <c r="I43" s="363">
        <v>0.34</v>
      </c>
      <c r="J43" s="362">
        <v>7000</v>
      </c>
      <c r="K43" s="361">
        <f t="shared" si="12"/>
        <v>7261.1862456766657</v>
      </c>
      <c r="L43" s="390">
        <f t="shared" si="64"/>
        <v>7724.666218804964</v>
      </c>
      <c r="M43" s="372">
        <f t="shared" si="13"/>
        <v>66.606938639999996</v>
      </c>
      <c r="N43" s="373">
        <f t="shared" si="14"/>
        <v>9732.9603999999999</v>
      </c>
      <c r="O43" s="378">
        <f t="shared" ref="O43:O54" si="78">N43*0.15</f>
        <v>1459.94406</v>
      </c>
      <c r="P43" s="373">
        <f t="shared" si="36"/>
        <v>8206.4094013600006</v>
      </c>
      <c r="Q43" s="373">
        <f t="shared" si="15"/>
        <v>19465.9208</v>
      </c>
      <c r="R43" s="374">
        <f t="shared" ref="R43:R51" si="79">(Q43-10000)*0.2+(10000-N43)*0.15</f>
        <v>1933.2401</v>
      </c>
      <c r="S43" s="373">
        <f t="shared" si="37"/>
        <v>7733.1133613600005</v>
      </c>
      <c r="T43" s="373">
        <f t="shared" si="38"/>
        <v>29198.8812</v>
      </c>
      <c r="U43" s="376">
        <f t="shared" si="75"/>
        <v>2240.5137640000003</v>
      </c>
      <c r="V43" s="373">
        <f t="shared" si="40"/>
        <v>7425.8396973600002</v>
      </c>
      <c r="W43" s="373">
        <f t="shared" si="41"/>
        <v>38931.8416</v>
      </c>
      <c r="X43" s="376">
        <f t="shared" si="72"/>
        <v>2627.899308</v>
      </c>
      <c r="Y43" s="373">
        <f t="shared" si="43"/>
        <v>7038.4541533600004</v>
      </c>
      <c r="Z43" s="373">
        <f t="shared" si="44"/>
        <v>48664.801999999996</v>
      </c>
      <c r="AA43" s="376">
        <f t="shared" si="45"/>
        <v>2627.899308</v>
      </c>
      <c r="AB43" s="373">
        <f t="shared" si="46"/>
        <v>7038.4541533600004</v>
      </c>
      <c r="AC43" s="373">
        <f t="shared" si="47"/>
        <v>58397.7624</v>
      </c>
      <c r="AD43" s="376">
        <f t="shared" si="76"/>
        <v>2627.899308</v>
      </c>
      <c r="AE43" s="373">
        <f t="shared" si="48"/>
        <v>7038.4541533600004</v>
      </c>
      <c r="AF43" s="373">
        <f t="shared" si="49"/>
        <v>68130.722800000003</v>
      </c>
      <c r="AG43" s="376">
        <f t="shared" si="77"/>
        <v>2627.899308</v>
      </c>
      <c r="AH43" s="373">
        <f t="shared" si="50"/>
        <v>7038.4541533600004</v>
      </c>
      <c r="AI43" s="373">
        <f t="shared" si="51"/>
        <v>77863.683199999999</v>
      </c>
      <c r="AJ43" s="376">
        <f t="shared" ref="AJ43:AJ54" si="80">H43*0.27</f>
        <v>2627.899308</v>
      </c>
      <c r="AK43" s="373">
        <f t="shared" si="52"/>
        <v>7038.4541533600004</v>
      </c>
      <c r="AL43" s="373">
        <f t="shared" si="53"/>
        <v>87596.643599999996</v>
      </c>
      <c r="AM43" s="376">
        <f>H43*0.27</f>
        <v>2627.899308</v>
      </c>
      <c r="AN43" s="373">
        <f>H43-M43-AM43</f>
        <v>7038.4541533600004</v>
      </c>
      <c r="AO43" s="373">
        <f t="shared" si="55"/>
        <v>97329.603999999992</v>
      </c>
      <c r="AP43" s="377">
        <f>(AO43-88000)*0.35+(88000-AL43)*0.27</f>
        <v>3374.2676279999982</v>
      </c>
      <c r="AQ43" s="373">
        <f t="shared" si="70"/>
        <v>8298.512925160001</v>
      </c>
      <c r="AR43" s="373">
        <f t="shared" si="57"/>
        <v>107062.5644</v>
      </c>
      <c r="AS43" s="377">
        <f t="shared" si="73"/>
        <v>3406.5361399999997</v>
      </c>
      <c r="AT43" s="373">
        <f t="shared" si="59"/>
        <v>6259.8173213600003</v>
      </c>
      <c r="AU43" s="373">
        <f t="shared" si="60"/>
        <v>116795.5248</v>
      </c>
      <c r="AV43" s="377">
        <f t="shared" si="74"/>
        <v>3406.5361399999997</v>
      </c>
      <c r="AW43" s="373">
        <f t="shared" si="62"/>
        <v>6259.8173213600003</v>
      </c>
      <c r="AX43" s="292"/>
    </row>
    <row r="44" spans="1:50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34"/>
        <v>19984.079999999998</v>
      </c>
      <c r="G44" s="233">
        <v>359</v>
      </c>
      <c r="H44" s="353">
        <f t="shared" si="63"/>
        <v>9283.3185999999987</v>
      </c>
      <c r="I44" s="363">
        <v>0.31</v>
      </c>
      <c r="J44" s="362">
        <v>6700</v>
      </c>
      <c r="K44" s="361">
        <f t="shared" si="12"/>
        <v>6931.7936510566651</v>
      </c>
      <c r="L44" s="390">
        <f t="shared" si="64"/>
        <v>7374.2485649538994</v>
      </c>
      <c r="M44" s="372">
        <f t="shared" si="13"/>
        <v>63.639302759999993</v>
      </c>
      <c r="N44" s="373">
        <f t="shared" si="14"/>
        <v>9283.3185999999987</v>
      </c>
      <c r="O44" s="378">
        <f t="shared" si="78"/>
        <v>1392.4977899999997</v>
      </c>
      <c r="P44" s="373">
        <f t="shared" si="36"/>
        <v>7827.1815072399986</v>
      </c>
      <c r="Q44" s="373">
        <f t="shared" si="15"/>
        <v>18566.637199999997</v>
      </c>
      <c r="R44" s="374">
        <f t="shared" si="79"/>
        <v>1820.8296499999997</v>
      </c>
      <c r="S44" s="373">
        <f t="shared" si="37"/>
        <v>7398.8496472399984</v>
      </c>
      <c r="T44" s="373">
        <f t="shared" si="38"/>
        <v>27849.955799999996</v>
      </c>
      <c r="U44" s="376">
        <f t="shared" si="75"/>
        <v>2056.1606259999999</v>
      </c>
      <c r="V44" s="373">
        <f t="shared" si="40"/>
        <v>7163.5186712399982</v>
      </c>
      <c r="W44" s="373">
        <f t="shared" si="41"/>
        <v>37133.274399999995</v>
      </c>
      <c r="X44" s="376">
        <f t="shared" si="72"/>
        <v>2506.4960219999998</v>
      </c>
      <c r="Y44" s="373">
        <f t="shared" si="43"/>
        <v>6713.1832752399987</v>
      </c>
      <c r="Z44" s="373">
        <f t="shared" si="44"/>
        <v>46416.592999999993</v>
      </c>
      <c r="AA44" s="376">
        <f t="shared" si="45"/>
        <v>2506.4960219999998</v>
      </c>
      <c r="AB44" s="373">
        <f t="shared" si="46"/>
        <v>6713.1832752399987</v>
      </c>
      <c r="AC44" s="373">
        <f t="shared" si="47"/>
        <v>55699.911599999992</v>
      </c>
      <c r="AD44" s="376">
        <f t="shared" si="76"/>
        <v>2506.4960219999998</v>
      </c>
      <c r="AE44" s="373">
        <f t="shared" si="48"/>
        <v>6713.1832752399987</v>
      </c>
      <c r="AF44" s="373">
        <f t="shared" si="49"/>
        <v>64983.230199999991</v>
      </c>
      <c r="AG44" s="376">
        <f t="shared" si="77"/>
        <v>2506.4960219999998</v>
      </c>
      <c r="AH44" s="373">
        <f t="shared" si="50"/>
        <v>6713.1832752399987</v>
      </c>
      <c r="AI44" s="373">
        <f t="shared" si="51"/>
        <v>74266.54879999999</v>
      </c>
      <c r="AJ44" s="376">
        <f t="shared" si="80"/>
        <v>2506.4960219999998</v>
      </c>
      <c r="AK44" s="373">
        <f t="shared" si="52"/>
        <v>6713.1832752399987</v>
      </c>
      <c r="AL44" s="373">
        <f t="shared" si="53"/>
        <v>83549.867399999988</v>
      </c>
      <c r="AM44" s="376">
        <f>H44*0.27</f>
        <v>2506.4960219999998</v>
      </c>
      <c r="AN44" s="373">
        <f>H44-M44-AM44</f>
        <v>6713.1832752399987</v>
      </c>
      <c r="AO44" s="373">
        <f t="shared" si="55"/>
        <v>92833.185999999987</v>
      </c>
      <c r="AP44" s="377">
        <f>(AO44-88000)*0.35+(88000-AL44)*0.27</f>
        <v>2893.1509019999985</v>
      </c>
      <c r="AQ44" s="373">
        <f t="shared" si="70"/>
        <v>7851.8387610399986</v>
      </c>
      <c r="AR44" s="373">
        <f t="shared" si="57"/>
        <v>102116.50459999999</v>
      </c>
      <c r="AS44" s="377">
        <f t="shared" si="73"/>
        <v>3249.1615099999995</v>
      </c>
      <c r="AT44" s="373">
        <f t="shared" si="59"/>
        <v>5970.5177872399981</v>
      </c>
      <c r="AU44" s="373">
        <f t="shared" si="60"/>
        <v>111399.82319999998</v>
      </c>
      <c r="AV44" s="377">
        <f t="shared" si="74"/>
        <v>3249.1615099999995</v>
      </c>
      <c r="AW44" s="373">
        <f t="shared" si="62"/>
        <v>5970.5177872399981</v>
      </c>
      <c r="AX44" s="292"/>
    </row>
    <row r="45" spans="1:50" ht="28.5" x14ac:dyDescent="0.45">
      <c r="A45" s="716"/>
      <c r="B45" s="458" t="s">
        <v>226</v>
      </c>
      <c r="C45" s="231">
        <v>200</v>
      </c>
      <c r="D45" s="234">
        <v>4996.0199999999995</v>
      </c>
      <c r="E45" s="234">
        <v>6661.36</v>
      </c>
      <c r="F45" s="234">
        <f t="shared" si="34"/>
        <v>11657.38</v>
      </c>
      <c r="G45" s="233">
        <v>359</v>
      </c>
      <c r="H45" s="353">
        <f t="shared" si="63"/>
        <v>9499.8127999999997</v>
      </c>
      <c r="I45" s="363">
        <v>0.73</v>
      </c>
      <c r="J45" s="362">
        <v>6800</v>
      </c>
      <c r="K45" s="361">
        <f t="shared" si="12"/>
        <v>7090.3900855033316</v>
      </c>
      <c r="L45" s="390">
        <f t="shared" si="64"/>
        <v>7542.9681760673748</v>
      </c>
      <c r="M45" s="372">
        <f t="shared" si="13"/>
        <v>65.068164479999993</v>
      </c>
      <c r="N45" s="373">
        <f t="shared" si="14"/>
        <v>9499.8127999999997</v>
      </c>
      <c r="O45" s="378">
        <f t="shared" si="78"/>
        <v>1424.97192</v>
      </c>
      <c r="P45" s="373">
        <f t="shared" si="36"/>
        <v>8009.7727155199991</v>
      </c>
      <c r="Q45" s="373">
        <f t="shared" si="15"/>
        <v>18999.625599999999</v>
      </c>
      <c r="R45" s="374">
        <f t="shared" si="79"/>
        <v>1874.9531999999999</v>
      </c>
      <c r="S45" s="373">
        <f t="shared" si="37"/>
        <v>7559.7914355199991</v>
      </c>
      <c r="T45" s="373">
        <f t="shared" si="38"/>
        <v>28499.438399999999</v>
      </c>
      <c r="U45" s="376">
        <f t="shared" si="75"/>
        <v>2144.9232480000001</v>
      </c>
      <c r="V45" s="373">
        <f t="shared" si="40"/>
        <v>7289.821387519999</v>
      </c>
      <c r="W45" s="373">
        <f t="shared" si="41"/>
        <v>37999.251199999999</v>
      </c>
      <c r="X45" s="376">
        <f t="shared" si="72"/>
        <v>2564.9494560000003</v>
      </c>
      <c r="Y45" s="373">
        <f t="shared" si="43"/>
        <v>6869.7951795199988</v>
      </c>
      <c r="Z45" s="373">
        <f t="shared" si="44"/>
        <v>47499.063999999998</v>
      </c>
      <c r="AA45" s="376">
        <f t="shared" si="45"/>
        <v>2564.9494560000003</v>
      </c>
      <c r="AB45" s="373">
        <f t="shared" si="46"/>
        <v>6869.7951795199988</v>
      </c>
      <c r="AC45" s="373">
        <f t="shared" si="47"/>
        <v>56998.876799999998</v>
      </c>
      <c r="AD45" s="376">
        <f t="shared" si="76"/>
        <v>2564.9494560000003</v>
      </c>
      <c r="AE45" s="373">
        <f t="shared" si="48"/>
        <v>6869.7951795199988</v>
      </c>
      <c r="AF45" s="373">
        <f t="shared" si="49"/>
        <v>66498.689599999998</v>
      </c>
      <c r="AG45" s="376">
        <f t="shared" si="77"/>
        <v>2564.9494560000003</v>
      </c>
      <c r="AH45" s="373">
        <f t="shared" si="50"/>
        <v>6869.7951795199988</v>
      </c>
      <c r="AI45" s="373">
        <f t="shared" si="51"/>
        <v>75998.502399999998</v>
      </c>
      <c r="AJ45" s="376">
        <f t="shared" si="80"/>
        <v>2564.9494560000003</v>
      </c>
      <c r="AK45" s="373">
        <f t="shared" si="52"/>
        <v>6869.7951795199988</v>
      </c>
      <c r="AL45" s="373">
        <f t="shared" si="53"/>
        <v>85498.315199999997</v>
      </c>
      <c r="AM45" s="376">
        <f>H45*0.27</f>
        <v>2564.9494560000003</v>
      </c>
      <c r="AN45" s="373">
        <f t="shared" si="54"/>
        <v>6869.7951795199988</v>
      </c>
      <c r="AO45" s="373">
        <f t="shared" si="55"/>
        <v>94998.127999999997</v>
      </c>
      <c r="AP45" s="377">
        <f>(AO45-88000)*0.35+(88000-AL45)*0.27</f>
        <v>3124.7996959999996</v>
      </c>
      <c r="AQ45" s="373">
        <f t="shared" si="70"/>
        <v>8066.9040993199997</v>
      </c>
      <c r="AR45" s="373">
        <f t="shared" si="57"/>
        <v>104497.9408</v>
      </c>
      <c r="AS45" s="377">
        <f t="shared" si="73"/>
        <v>3324.9344799999999</v>
      </c>
      <c r="AT45" s="373">
        <f t="shared" si="59"/>
        <v>6109.8101555199992</v>
      </c>
      <c r="AU45" s="373">
        <f t="shared" si="60"/>
        <v>113997.7536</v>
      </c>
      <c r="AV45" s="377">
        <f t="shared" si="74"/>
        <v>3324.9344799999999</v>
      </c>
      <c r="AW45" s="373">
        <f t="shared" si="62"/>
        <v>6109.8101555199992</v>
      </c>
      <c r="AX45" s="292"/>
    </row>
    <row r="46" spans="1:50" ht="28.5" x14ac:dyDescent="0.45">
      <c r="A46" s="716"/>
      <c r="B46" s="458" t="s">
        <v>227</v>
      </c>
      <c r="C46" s="231">
        <v>200</v>
      </c>
      <c r="D46" s="234">
        <v>4996.0199999999995</v>
      </c>
      <c r="E46" s="234">
        <v>6661.36</v>
      </c>
      <c r="F46" s="234">
        <f t="shared" si="34"/>
        <v>11657.38</v>
      </c>
      <c r="G46" s="233">
        <v>359</v>
      </c>
      <c r="H46" s="353">
        <f t="shared" si="63"/>
        <v>8300.768</v>
      </c>
      <c r="I46" s="363">
        <v>0.55000000000000004</v>
      </c>
      <c r="J46" s="362">
        <v>6000</v>
      </c>
      <c r="K46" s="361">
        <f t="shared" si="12"/>
        <v>6223.2356465166658</v>
      </c>
      <c r="L46" s="390">
        <f t="shared" si="64"/>
        <v>6620.4634537411339</v>
      </c>
      <c r="M46" s="372">
        <f t="shared" si="13"/>
        <v>57.154468799999997</v>
      </c>
      <c r="N46" s="373">
        <f t="shared" si="14"/>
        <v>8300.768</v>
      </c>
      <c r="O46" s="378">
        <f t="shared" si="78"/>
        <v>1245.1152</v>
      </c>
      <c r="P46" s="373">
        <f t="shared" si="36"/>
        <v>6998.4983312000004</v>
      </c>
      <c r="Q46" s="373">
        <f t="shared" si="15"/>
        <v>16601.536</v>
      </c>
      <c r="R46" s="374">
        <f t="shared" si="79"/>
        <v>1575.1920000000002</v>
      </c>
      <c r="S46" s="373">
        <f t="shared" si="37"/>
        <v>6668.4215312000006</v>
      </c>
      <c r="T46" s="373">
        <f t="shared" si="38"/>
        <v>24902.304</v>
      </c>
      <c r="U46" s="374">
        <f>H46*0.2</f>
        <v>1660.1536000000001</v>
      </c>
      <c r="V46" s="373">
        <f t="shared" si="40"/>
        <v>6583.4599312000009</v>
      </c>
      <c r="W46" s="373">
        <f t="shared" si="41"/>
        <v>33203.072</v>
      </c>
      <c r="X46" s="376">
        <f>(W46-25000)*0.27+(25000-T46)*0.2</f>
        <v>2234.3686400000001</v>
      </c>
      <c r="Y46" s="373">
        <f t="shared" si="43"/>
        <v>6009.2448912</v>
      </c>
      <c r="Z46" s="373">
        <f t="shared" si="44"/>
        <v>41503.839999999997</v>
      </c>
      <c r="AA46" s="376">
        <f t="shared" si="45"/>
        <v>2241.2073600000003</v>
      </c>
      <c r="AB46" s="373">
        <f t="shared" si="46"/>
        <v>6002.4061712000002</v>
      </c>
      <c r="AC46" s="373">
        <f t="shared" si="47"/>
        <v>49804.608</v>
      </c>
      <c r="AD46" s="376">
        <f t="shared" si="76"/>
        <v>2241.2073600000003</v>
      </c>
      <c r="AE46" s="373">
        <f t="shared" si="48"/>
        <v>6002.4061712000002</v>
      </c>
      <c r="AF46" s="373">
        <f t="shared" si="49"/>
        <v>58105.376000000004</v>
      </c>
      <c r="AG46" s="376">
        <f t="shared" si="77"/>
        <v>2241.2073600000003</v>
      </c>
      <c r="AH46" s="373">
        <f t="shared" si="50"/>
        <v>6002.4061712000002</v>
      </c>
      <c r="AI46" s="373">
        <f t="shared" si="51"/>
        <v>66406.144</v>
      </c>
      <c r="AJ46" s="376">
        <f t="shared" si="80"/>
        <v>2241.2073600000003</v>
      </c>
      <c r="AK46" s="373">
        <f t="shared" si="52"/>
        <v>6002.4061712000002</v>
      </c>
      <c r="AL46" s="373">
        <f t="shared" si="53"/>
        <v>74706.911999999997</v>
      </c>
      <c r="AM46" s="376">
        <f>H46*0.27</f>
        <v>2241.2073600000003</v>
      </c>
      <c r="AN46" s="373">
        <f t="shared" si="54"/>
        <v>6002.4061712000002</v>
      </c>
      <c r="AO46" s="373">
        <f t="shared" si="55"/>
        <v>83007.679999999993</v>
      </c>
      <c r="AP46" s="376">
        <f>H46*0.27</f>
        <v>2241.2073600000003</v>
      </c>
      <c r="AQ46" s="373">
        <f t="shared" si="70"/>
        <v>6875.7729950000012</v>
      </c>
      <c r="AR46" s="373">
        <f t="shared" si="57"/>
        <v>91308.448000000004</v>
      </c>
      <c r="AS46" s="377">
        <f>(AR46-88000)*0.35+(88000-AO46)*0.27</f>
        <v>2505.8832000000029</v>
      </c>
      <c r="AT46" s="373">
        <f t="shared" si="59"/>
        <v>5737.7303311999976</v>
      </c>
      <c r="AU46" s="373">
        <f t="shared" si="60"/>
        <v>99609.216</v>
      </c>
      <c r="AV46" s="377">
        <f>(AU46-88000)*0.35+(88000-AR46)*0.27</f>
        <v>3169.9446399999988</v>
      </c>
      <c r="AW46" s="373">
        <f t="shared" si="62"/>
        <v>5073.6688912000018</v>
      </c>
      <c r="AX46" s="292"/>
    </row>
    <row r="47" spans="1:50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34"/>
        <v>13988.856</v>
      </c>
      <c r="G47" s="233">
        <v>359</v>
      </c>
      <c r="H47" s="353">
        <f t="shared" si="63"/>
        <v>10212.578319999999</v>
      </c>
      <c r="I47" s="363">
        <v>0.62</v>
      </c>
      <c r="J47" s="362">
        <v>7351</v>
      </c>
      <c r="K47" s="361">
        <f t="shared" si="12"/>
        <v>7586.4503140713341</v>
      </c>
      <c r="L47" s="390">
        <f t="shared" si="64"/>
        <v>8070.6918234801433</v>
      </c>
      <c r="M47" s="372">
        <f t="shared" si="13"/>
        <v>69.772416911999997</v>
      </c>
      <c r="N47" s="373">
        <f t="shared" si="14"/>
        <v>10212.578319999999</v>
      </c>
      <c r="O47" s="374">
        <f t="shared" ref="O47" si="81">(N47-10000)*0.2+10000*0.15</f>
        <v>1542.5156639999998</v>
      </c>
      <c r="P47" s="373">
        <f t="shared" si="36"/>
        <v>8600.290239087999</v>
      </c>
      <c r="Q47" s="373">
        <f t="shared" si="15"/>
        <v>20425.156639999997</v>
      </c>
      <c r="R47" s="374">
        <f>H47*0.2</f>
        <v>2042.5156639999998</v>
      </c>
      <c r="S47" s="373">
        <f t="shared" si="37"/>
        <v>8100.2902390879999</v>
      </c>
      <c r="T47" s="373">
        <f t="shared" si="38"/>
        <v>30637.734959999994</v>
      </c>
      <c r="U47" s="376">
        <f>(T47-25000)*0.27+(25000-Q47)*0.2</f>
        <v>2437.1571111999992</v>
      </c>
      <c r="V47" s="373">
        <f t="shared" si="40"/>
        <v>7705.6487918880002</v>
      </c>
      <c r="W47" s="373">
        <f t="shared" si="41"/>
        <v>40850.313279999995</v>
      </c>
      <c r="X47" s="376">
        <f>H47*0.27</f>
        <v>2757.3961463999999</v>
      </c>
      <c r="Y47" s="373">
        <f t="shared" si="43"/>
        <v>7385.4097566879991</v>
      </c>
      <c r="Z47" s="373">
        <f t="shared" si="44"/>
        <v>51062.891599999995</v>
      </c>
      <c r="AA47" s="376">
        <f t="shared" si="45"/>
        <v>2757.3961463999999</v>
      </c>
      <c r="AB47" s="373">
        <f t="shared" si="46"/>
        <v>7385.4097566879991</v>
      </c>
      <c r="AC47" s="373">
        <f t="shared" si="47"/>
        <v>61275.469919999989</v>
      </c>
      <c r="AD47" s="376">
        <f t="shared" si="76"/>
        <v>2757.3961463999999</v>
      </c>
      <c r="AE47" s="373">
        <f t="shared" si="48"/>
        <v>7385.4097566879991</v>
      </c>
      <c r="AF47" s="373">
        <f t="shared" si="49"/>
        <v>71488.048239999989</v>
      </c>
      <c r="AG47" s="376">
        <f t="shared" si="77"/>
        <v>2757.3961463999999</v>
      </c>
      <c r="AH47" s="373">
        <f t="shared" si="50"/>
        <v>7385.4097566879991</v>
      </c>
      <c r="AI47" s="373">
        <f t="shared" si="51"/>
        <v>81700.62655999999</v>
      </c>
      <c r="AJ47" s="376">
        <f t="shared" si="80"/>
        <v>2757.3961463999999</v>
      </c>
      <c r="AK47" s="373">
        <f t="shared" si="52"/>
        <v>7385.4097566879991</v>
      </c>
      <c r="AL47" s="373">
        <f t="shared" si="53"/>
        <v>91913.20487999999</v>
      </c>
      <c r="AM47" s="377">
        <f>(AL47-88000)*0.35+(88000-AI47)*0.27</f>
        <v>3070.4525367999995</v>
      </c>
      <c r="AN47" s="373">
        <f t="shared" si="54"/>
        <v>7072.353366288</v>
      </c>
      <c r="AO47" s="373">
        <f t="shared" si="55"/>
        <v>102125.78319999999</v>
      </c>
      <c r="AP47" s="377">
        <f>H47*0.35</f>
        <v>3574.4024119999995</v>
      </c>
      <c r="AQ47" s="373">
        <f t="shared" si="70"/>
        <v>8774.9653668880001</v>
      </c>
      <c r="AR47" s="373">
        <f t="shared" si="57"/>
        <v>112338.36151999999</v>
      </c>
      <c r="AS47" s="377">
        <f>H47*0.35</f>
        <v>3574.4024119999995</v>
      </c>
      <c r="AT47" s="373">
        <f t="shared" si="59"/>
        <v>6568.403491088</v>
      </c>
      <c r="AU47" s="373">
        <f t="shared" si="60"/>
        <v>122550.93983999998</v>
      </c>
      <c r="AV47" s="377">
        <f>H47*0.35</f>
        <v>3574.4024119999995</v>
      </c>
      <c r="AW47" s="373">
        <f t="shared" si="62"/>
        <v>6568.403491088</v>
      </c>
      <c r="AX47" s="292"/>
    </row>
    <row r="48" spans="1:50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34"/>
        <v>13988.856</v>
      </c>
      <c r="G48" s="233">
        <v>359</v>
      </c>
      <c r="H48" s="353">
        <f t="shared" si="63"/>
        <v>8234.1543999999994</v>
      </c>
      <c r="I48" s="463">
        <v>0.4</v>
      </c>
      <c r="J48" s="362">
        <v>6000</v>
      </c>
      <c r="K48" s="361">
        <f t="shared" si="12"/>
        <v>6200.9339702766656</v>
      </c>
      <c r="L48" s="390">
        <f t="shared" si="64"/>
        <v>6596.7382662517721</v>
      </c>
      <c r="M48" s="372">
        <f t="shared" si="13"/>
        <v>56.714819039999995</v>
      </c>
      <c r="N48" s="373">
        <f t="shared" si="14"/>
        <v>8234.1543999999994</v>
      </c>
      <c r="O48" s="378">
        <f t="shared" si="78"/>
        <v>1235.1231599999999</v>
      </c>
      <c r="P48" s="373">
        <f t="shared" si="36"/>
        <v>6942.316420959999</v>
      </c>
      <c r="Q48" s="373">
        <f t="shared" si="15"/>
        <v>16468.308799999999</v>
      </c>
      <c r="R48" s="374">
        <f t="shared" si="79"/>
        <v>1558.5386000000001</v>
      </c>
      <c r="S48" s="373">
        <f t="shared" si="37"/>
        <v>6618.9009809599993</v>
      </c>
      <c r="T48" s="373">
        <f t="shared" si="38"/>
        <v>24702.463199999998</v>
      </c>
      <c r="U48" s="374">
        <f>H48*0.2</f>
        <v>1646.83088</v>
      </c>
      <c r="V48" s="373">
        <f t="shared" si="40"/>
        <v>6530.6087009599996</v>
      </c>
      <c r="W48" s="373">
        <f t="shared" si="41"/>
        <v>32936.617599999998</v>
      </c>
      <c r="X48" s="376">
        <f>(W48-25000)*0.27+(25000-T48)*0.2</f>
        <v>2202.394112</v>
      </c>
      <c r="Y48" s="373">
        <f t="shared" si="43"/>
        <v>5975.0454689599992</v>
      </c>
      <c r="Z48" s="373">
        <f t="shared" si="44"/>
        <v>41170.771999999997</v>
      </c>
      <c r="AA48" s="376">
        <f t="shared" si="45"/>
        <v>2223.2216880000001</v>
      </c>
      <c r="AB48" s="373">
        <f t="shared" si="46"/>
        <v>5954.2178929599995</v>
      </c>
      <c r="AC48" s="373">
        <f t="shared" si="47"/>
        <v>49404.926399999997</v>
      </c>
      <c r="AD48" s="376">
        <f t="shared" si="76"/>
        <v>2223.2216880000001</v>
      </c>
      <c r="AE48" s="373">
        <f t="shared" si="48"/>
        <v>5954.2178929599995</v>
      </c>
      <c r="AF48" s="373">
        <f t="shared" si="49"/>
        <v>57639.080799999996</v>
      </c>
      <c r="AG48" s="376">
        <f t="shared" si="77"/>
        <v>2223.2216880000001</v>
      </c>
      <c r="AH48" s="373">
        <f t="shared" si="50"/>
        <v>5954.2178929599995</v>
      </c>
      <c r="AI48" s="373">
        <f t="shared" si="51"/>
        <v>65873.235199999996</v>
      </c>
      <c r="AJ48" s="376">
        <f t="shared" si="80"/>
        <v>2223.2216880000001</v>
      </c>
      <c r="AK48" s="373">
        <f t="shared" si="52"/>
        <v>5954.2178929599995</v>
      </c>
      <c r="AL48" s="373">
        <f t="shared" si="53"/>
        <v>74107.389599999995</v>
      </c>
      <c r="AM48" s="376">
        <f t="shared" ref="AM48:AM54" si="82">H48*0.27</f>
        <v>2223.2216880000001</v>
      </c>
      <c r="AN48" s="373">
        <f t="shared" si="54"/>
        <v>5954.2178929599995</v>
      </c>
      <c r="AO48" s="373">
        <f t="shared" si="55"/>
        <v>82341.543999999994</v>
      </c>
      <c r="AP48" s="376">
        <f>H48*0.27</f>
        <v>2223.2216880000001</v>
      </c>
      <c r="AQ48" s="373">
        <f t="shared" si="70"/>
        <v>6809.5990447599997</v>
      </c>
      <c r="AR48" s="373">
        <f t="shared" si="57"/>
        <v>90575.698399999994</v>
      </c>
      <c r="AS48" s="377">
        <f>(AR48-88000)*0.35+(88000-AO48)*0.27</f>
        <v>2429.2775599999995</v>
      </c>
      <c r="AT48" s="373">
        <f t="shared" si="59"/>
        <v>5748.1620209599996</v>
      </c>
      <c r="AU48" s="373">
        <f t="shared" si="60"/>
        <v>98809.852799999993</v>
      </c>
      <c r="AV48" s="377">
        <f>H48*0.35</f>
        <v>2881.9540399999996</v>
      </c>
      <c r="AW48" s="373">
        <f t="shared" si="62"/>
        <v>5295.4855409599995</v>
      </c>
      <c r="AX48" s="292"/>
    </row>
    <row r="49" spans="1:50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34"/>
        <v>10991.243999999999</v>
      </c>
      <c r="G49" s="233">
        <v>359</v>
      </c>
      <c r="H49" s="353">
        <f t="shared" si="63"/>
        <v>8354.0588800000005</v>
      </c>
      <c r="I49" s="363">
        <v>0.62</v>
      </c>
      <c r="J49" s="362">
        <v>6100</v>
      </c>
      <c r="K49" s="361">
        <f t="shared" si="12"/>
        <v>6280.7783635086671</v>
      </c>
      <c r="L49" s="390">
        <f t="shared" si="64"/>
        <v>6681.6791101156041</v>
      </c>
      <c r="M49" s="372">
        <f t="shared" si="13"/>
        <v>57.506188608000002</v>
      </c>
      <c r="N49" s="373">
        <f t="shared" si="14"/>
        <v>8354.0588800000005</v>
      </c>
      <c r="O49" s="378">
        <f t="shared" si="78"/>
        <v>1253.1088320000001</v>
      </c>
      <c r="P49" s="373">
        <f t="shared" si="36"/>
        <v>7043.4438593920004</v>
      </c>
      <c r="Q49" s="373">
        <f t="shared" si="15"/>
        <v>16708.117760000001</v>
      </c>
      <c r="R49" s="374">
        <f t="shared" si="79"/>
        <v>1588.5147200000001</v>
      </c>
      <c r="S49" s="373">
        <f t="shared" si="37"/>
        <v>6708.0379713920001</v>
      </c>
      <c r="T49" s="373">
        <f t="shared" si="38"/>
        <v>25062.176640000001</v>
      </c>
      <c r="U49" s="374">
        <f>H49*0.2</f>
        <v>1670.8117760000002</v>
      </c>
      <c r="V49" s="373">
        <f t="shared" si="40"/>
        <v>6625.7409153919998</v>
      </c>
      <c r="W49" s="373">
        <f t="shared" si="41"/>
        <v>33416.235520000002</v>
      </c>
      <c r="X49" s="376">
        <f>(W49-25000)*0.27+(25000-T49)*0.2</f>
        <v>2259.9482624000002</v>
      </c>
      <c r="Y49" s="373">
        <f t="shared" si="43"/>
        <v>6036.6044289920001</v>
      </c>
      <c r="Z49" s="373">
        <f t="shared" si="44"/>
        <v>41770.294399999999</v>
      </c>
      <c r="AA49" s="376">
        <f t="shared" si="45"/>
        <v>2255.5958976000002</v>
      </c>
      <c r="AB49" s="373">
        <f t="shared" si="46"/>
        <v>6040.9567937920001</v>
      </c>
      <c r="AC49" s="373">
        <f t="shared" si="47"/>
        <v>50124.353280000003</v>
      </c>
      <c r="AD49" s="376">
        <f t="shared" si="76"/>
        <v>2255.5958976000002</v>
      </c>
      <c r="AE49" s="373">
        <f t="shared" si="48"/>
        <v>6040.9567937920001</v>
      </c>
      <c r="AF49" s="373">
        <f t="shared" si="49"/>
        <v>58478.412160000007</v>
      </c>
      <c r="AG49" s="376">
        <f t="shared" si="77"/>
        <v>2255.5958976000002</v>
      </c>
      <c r="AH49" s="373">
        <f t="shared" si="50"/>
        <v>6040.9567937920001</v>
      </c>
      <c r="AI49" s="373">
        <f t="shared" si="51"/>
        <v>66832.471040000004</v>
      </c>
      <c r="AJ49" s="376">
        <f t="shared" si="80"/>
        <v>2255.5958976000002</v>
      </c>
      <c r="AK49" s="373">
        <f t="shared" si="52"/>
        <v>6040.9567937920001</v>
      </c>
      <c r="AL49" s="373">
        <f t="shared" si="53"/>
        <v>75186.529920000001</v>
      </c>
      <c r="AM49" s="376">
        <f t="shared" si="82"/>
        <v>2255.5958976000002</v>
      </c>
      <c r="AN49" s="373">
        <f t="shared" si="54"/>
        <v>6040.9567937920001</v>
      </c>
      <c r="AO49" s="373">
        <f t="shared" si="55"/>
        <v>83540.588799999998</v>
      </c>
      <c r="AP49" s="376">
        <f>H49*0.27</f>
        <v>2255.5958976000002</v>
      </c>
      <c r="AQ49" s="373">
        <f t="shared" si="70"/>
        <v>6928.7121551920009</v>
      </c>
      <c r="AR49" s="373">
        <f t="shared" si="57"/>
        <v>91894.647680000009</v>
      </c>
      <c r="AS49" s="377">
        <f>(AR49-88000)*0.35+(88000-AO49)*0.27</f>
        <v>2567.167712000004</v>
      </c>
      <c r="AT49" s="373">
        <f t="shared" si="59"/>
        <v>5729.3849793919962</v>
      </c>
      <c r="AU49" s="373">
        <f t="shared" si="60"/>
        <v>100248.70656000001</v>
      </c>
      <c r="AV49" s="377">
        <f>H49*0.35</f>
        <v>2923.9206079999999</v>
      </c>
      <c r="AW49" s="373">
        <f t="shared" si="62"/>
        <v>5372.6320833919999</v>
      </c>
      <c r="AX49" s="292"/>
    </row>
    <row r="50" spans="1:50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34"/>
        <v>10991.243999999999</v>
      </c>
      <c r="G50" s="233">
        <v>359</v>
      </c>
      <c r="H50" s="353">
        <f t="shared" si="63"/>
        <v>7274.9185600000001</v>
      </c>
      <c r="I50" s="363">
        <v>0.44</v>
      </c>
      <c r="J50" s="362">
        <v>5400</v>
      </c>
      <c r="K50" s="361">
        <f t="shared" si="12"/>
        <v>5557.5056425539997</v>
      </c>
      <c r="L50" s="390">
        <f t="shared" si="64"/>
        <v>5912.2400452702132</v>
      </c>
      <c r="M50" s="372">
        <f t="shared" si="13"/>
        <v>50.383862495999999</v>
      </c>
      <c r="N50" s="373">
        <f t="shared" si="14"/>
        <v>7274.9185600000001</v>
      </c>
      <c r="O50" s="378">
        <f t="shared" si="78"/>
        <v>1091.2377839999999</v>
      </c>
      <c r="P50" s="373">
        <f t="shared" si="36"/>
        <v>6133.2969135040003</v>
      </c>
      <c r="Q50" s="373">
        <f t="shared" si="15"/>
        <v>14549.83712</v>
      </c>
      <c r="R50" s="374">
        <f t="shared" si="79"/>
        <v>1318.72964</v>
      </c>
      <c r="S50" s="373">
        <f t="shared" si="37"/>
        <v>5905.8050575039997</v>
      </c>
      <c r="T50" s="373">
        <f t="shared" si="38"/>
        <v>21824.755680000002</v>
      </c>
      <c r="U50" s="374">
        <f>H50*0.2</f>
        <v>1454.9837120000002</v>
      </c>
      <c r="V50" s="373">
        <f t="shared" si="40"/>
        <v>5769.550985504</v>
      </c>
      <c r="W50" s="373">
        <f t="shared" si="41"/>
        <v>29099.67424</v>
      </c>
      <c r="X50" s="376">
        <f>(W50-25000)*0.27+(25000-T50)*0.2</f>
        <v>1741.9609087999997</v>
      </c>
      <c r="Y50" s="373">
        <f t="shared" si="43"/>
        <v>5482.5737887040004</v>
      </c>
      <c r="Z50" s="373">
        <f t="shared" si="44"/>
        <v>36374.592799999999</v>
      </c>
      <c r="AA50" s="376">
        <f t="shared" si="45"/>
        <v>1964.2280112000001</v>
      </c>
      <c r="AB50" s="373">
        <f t="shared" si="46"/>
        <v>5260.3066863040003</v>
      </c>
      <c r="AC50" s="373">
        <f t="shared" si="47"/>
        <v>43649.511360000004</v>
      </c>
      <c r="AD50" s="376">
        <f t="shared" si="76"/>
        <v>1964.2280112000001</v>
      </c>
      <c r="AE50" s="373">
        <f t="shared" si="48"/>
        <v>5260.3066863040003</v>
      </c>
      <c r="AF50" s="373">
        <f t="shared" si="49"/>
        <v>50924.429920000002</v>
      </c>
      <c r="AG50" s="376">
        <f t="shared" si="77"/>
        <v>1964.2280112000001</v>
      </c>
      <c r="AH50" s="373">
        <f t="shared" si="50"/>
        <v>5260.3066863040003</v>
      </c>
      <c r="AI50" s="373">
        <f t="shared" si="51"/>
        <v>58199.348480000001</v>
      </c>
      <c r="AJ50" s="376">
        <f t="shared" si="80"/>
        <v>1964.2280112000001</v>
      </c>
      <c r="AK50" s="373">
        <f t="shared" si="52"/>
        <v>5260.3066863040003</v>
      </c>
      <c r="AL50" s="373">
        <f t="shared" si="53"/>
        <v>65474.267039999999</v>
      </c>
      <c r="AM50" s="376">
        <f t="shared" si="82"/>
        <v>1964.2280112000001</v>
      </c>
      <c r="AN50" s="373">
        <f t="shared" si="54"/>
        <v>5260.3066863040003</v>
      </c>
      <c r="AO50" s="373">
        <f t="shared" si="55"/>
        <v>72749.185599999997</v>
      </c>
      <c r="AP50" s="376">
        <f>H50*0.27</f>
        <v>1964.2280112000001</v>
      </c>
      <c r="AQ50" s="373">
        <f t="shared" si="70"/>
        <v>5856.6941613039999</v>
      </c>
      <c r="AR50" s="373">
        <f t="shared" si="57"/>
        <v>80024.104160000003</v>
      </c>
      <c r="AS50" s="376">
        <f>H50*0.27</f>
        <v>1964.2280112000001</v>
      </c>
      <c r="AT50" s="373">
        <f t="shared" si="59"/>
        <v>5260.3066863040003</v>
      </c>
      <c r="AU50" s="373">
        <f t="shared" si="60"/>
        <v>87299.022720000008</v>
      </c>
      <c r="AV50" s="376">
        <f t="shared" ref="AV50:AV54" si="83">H50*0.27</f>
        <v>1964.2280112000001</v>
      </c>
      <c r="AW50" s="373">
        <f t="shared" si="62"/>
        <v>5260.3066863040003</v>
      </c>
      <c r="AX50" s="292"/>
    </row>
    <row r="51" spans="1:50" ht="28.5" x14ac:dyDescent="0.45">
      <c r="A51" s="718"/>
      <c r="B51" s="394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34"/>
        <v>10991.243999999999</v>
      </c>
      <c r="G51" s="233">
        <v>359</v>
      </c>
      <c r="H51" s="353">
        <f t="shared" si="63"/>
        <v>5236.5423999999994</v>
      </c>
      <c r="I51" s="393">
        <v>0.1</v>
      </c>
      <c r="J51" s="362">
        <v>3900</v>
      </c>
      <c r="K51" s="361">
        <f t="shared" si="12"/>
        <v>4037.0808648100005</v>
      </c>
      <c r="L51" s="390">
        <f t="shared" si="64"/>
        <v>4294.7668774574477</v>
      </c>
      <c r="M51" s="372">
        <f t="shared" si="13"/>
        <v>36.930579839999993</v>
      </c>
      <c r="N51" s="373">
        <f t="shared" si="14"/>
        <v>5236.5423999999994</v>
      </c>
      <c r="O51" s="378">
        <f t="shared" si="78"/>
        <v>785.48135999999988</v>
      </c>
      <c r="P51" s="373">
        <f t="shared" si="36"/>
        <v>4414.1304601599995</v>
      </c>
      <c r="Q51" s="373">
        <f t="shared" si="15"/>
        <v>10473.084799999999</v>
      </c>
      <c r="R51" s="374">
        <f t="shared" si="79"/>
        <v>809.13559999999984</v>
      </c>
      <c r="S51" s="373">
        <f t="shared" si="37"/>
        <v>4390.4762201599997</v>
      </c>
      <c r="T51" s="373">
        <f t="shared" si="38"/>
        <v>15709.627199999999</v>
      </c>
      <c r="U51" s="374">
        <f>H51*0.2</f>
        <v>1047.3084799999999</v>
      </c>
      <c r="V51" s="373">
        <f t="shared" si="40"/>
        <v>4152.3033401599996</v>
      </c>
      <c r="W51" s="373">
        <f t="shared" si="41"/>
        <v>20946.169599999997</v>
      </c>
      <c r="X51" s="374">
        <f>H51*0.2</f>
        <v>1047.3084799999999</v>
      </c>
      <c r="Y51" s="373">
        <f t="shared" si="43"/>
        <v>4152.3033401599996</v>
      </c>
      <c r="Z51" s="373">
        <f t="shared" si="44"/>
        <v>26182.711999999996</v>
      </c>
      <c r="AA51" s="376">
        <f>(Z51-25000)*0.27+(25000-W51)*0.2</f>
        <v>1130.0983199999996</v>
      </c>
      <c r="AB51" s="373">
        <f t="shared" si="46"/>
        <v>4069.5135001599997</v>
      </c>
      <c r="AC51" s="373">
        <f t="shared" si="47"/>
        <v>31419.254399999998</v>
      </c>
      <c r="AD51" s="376">
        <f t="shared" si="76"/>
        <v>1413.866448</v>
      </c>
      <c r="AE51" s="373">
        <f t="shared" si="48"/>
        <v>3785.7453721599995</v>
      </c>
      <c r="AF51" s="373">
        <f t="shared" si="49"/>
        <v>36655.796799999996</v>
      </c>
      <c r="AG51" s="376">
        <f t="shared" si="77"/>
        <v>1413.866448</v>
      </c>
      <c r="AH51" s="373">
        <f t="shared" si="50"/>
        <v>3785.7453721599995</v>
      </c>
      <c r="AI51" s="373">
        <f t="shared" si="51"/>
        <v>41892.339199999995</v>
      </c>
      <c r="AJ51" s="376">
        <f t="shared" si="80"/>
        <v>1413.866448</v>
      </c>
      <c r="AK51" s="373">
        <f t="shared" si="52"/>
        <v>3785.7453721599995</v>
      </c>
      <c r="AL51" s="373">
        <f t="shared" si="53"/>
        <v>47128.881599999993</v>
      </c>
      <c r="AM51" s="376">
        <f t="shared" si="82"/>
        <v>1413.866448</v>
      </c>
      <c r="AN51" s="373">
        <f t="shared" si="54"/>
        <v>3785.7453721599995</v>
      </c>
      <c r="AO51" s="373">
        <f t="shared" si="55"/>
        <v>52365.423999999992</v>
      </c>
      <c r="AP51" s="376">
        <f>H51*0.27</f>
        <v>1413.866448</v>
      </c>
      <c r="AQ51" s="373">
        <f t="shared" si="70"/>
        <v>3831.7712839599994</v>
      </c>
      <c r="AR51" s="373">
        <f t="shared" si="57"/>
        <v>57601.96639999999</v>
      </c>
      <c r="AS51" s="376">
        <f>H51*0.27</f>
        <v>1413.866448</v>
      </c>
      <c r="AT51" s="373">
        <f t="shared" si="59"/>
        <v>3785.7453721599995</v>
      </c>
      <c r="AU51" s="373">
        <f t="shared" si="60"/>
        <v>62838.508799999996</v>
      </c>
      <c r="AV51" s="376">
        <f t="shared" si="83"/>
        <v>1413.866448</v>
      </c>
      <c r="AW51" s="373">
        <f t="shared" si="62"/>
        <v>3785.7453721599995</v>
      </c>
      <c r="AX51" s="292"/>
    </row>
    <row r="52" spans="1:50" ht="42" x14ac:dyDescent="0.45">
      <c r="A52" s="719"/>
      <c r="B52" s="392" t="s">
        <v>199</v>
      </c>
      <c r="C52" s="290">
        <v>125</v>
      </c>
      <c r="D52" s="238">
        <v>3331</v>
      </c>
      <c r="E52" s="238">
        <v>4163</v>
      </c>
      <c r="F52" s="238">
        <f t="shared" si="34"/>
        <v>7494</v>
      </c>
      <c r="G52" s="233">
        <v>359</v>
      </c>
      <c r="H52" s="353">
        <f t="shared" si="63"/>
        <v>5053.5</v>
      </c>
      <c r="I52" s="391">
        <v>0.5</v>
      </c>
      <c r="J52" s="362">
        <v>3800</v>
      </c>
      <c r="K52" s="361">
        <f t="shared" si="12"/>
        <v>3900.5495386499992</v>
      </c>
      <c r="L52" s="390">
        <f t="shared" si="64"/>
        <v>4149.5207857978721</v>
      </c>
      <c r="M52" s="372">
        <f t="shared" si="13"/>
        <v>35.722499999999997</v>
      </c>
      <c r="N52" s="373">
        <f t="shared" si="14"/>
        <v>5053.5</v>
      </c>
      <c r="O52" s="378">
        <f t="shared" si="78"/>
        <v>758.02499999999998</v>
      </c>
      <c r="P52" s="373">
        <f t="shared" si="36"/>
        <v>4259.7525000000005</v>
      </c>
      <c r="Q52" s="373">
        <f t="shared" si="15"/>
        <v>10107</v>
      </c>
      <c r="R52" s="378">
        <f>H52*0.15</f>
        <v>758.02499999999998</v>
      </c>
      <c r="S52" s="373">
        <f t="shared" si="37"/>
        <v>4259.7525000000005</v>
      </c>
      <c r="T52" s="373">
        <f t="shared" si="38"/>
        <v>15160.5</v>
      </c>
      <c r="U52" s="374">
        <f>(T52-10000)*0.2+(10000-Q52)*0.15</f>
        <v>1016.0500000000002</v>
      </c>
      <c r="V52" s="373">
        <f t="shared" si="40"/>
        <v>4001.7275</v>
      </c>
      <c r="W52" s="373">
        <f t="shared" si="41"/>
        <v>20214</v>
      </c>
      <c r="X52" s="374">
        <f>H52*0.2</f>
        <v>1010.7</v>
      </c>
      <c r="Y52" s="373">
        <f t="shared" si="43"/>
        <v>4007.0775000000003</v>
      </c>
      <c r="Z52" s="373">
        <f t="shared" si="44"/>
        <v>25267.5</v>
      </c>
      <c r="AA52" s="374">
        <f>H52*0.2</f>
        <v>1010.7</v>
      </c>
      <c r="AB52" s="373">
        <f t="shared" si="46"/>
        <v>4007.0775000000003</v>
      </c>
      <c r="AC52" s="373">
        <f t="shared" si="47"/>
        <v>30321</v>
      </c>
      <c r="AD52" s="376">
        <f>(AC52-25000)*0.27+(25000-Z52)*0.2</f>
        <v>1383.17</v>
      </c>
      <c r="AE52" s="373">
        <f t="shared" si="48"/>
        <v>3634.6075000000001</v>
      </c>
      <c r="AF52" s="373">
        <f t="shared" si="49"/>
        <v>35374.5</v>
      </c>
      <c r="AG52" s="376">
        <f t="shared" si="77"/>
        <v>1364.4450000000002</v>
      </c>
      <c r="AH52" s="373">
        <f t="shared" si="50"/>
        <v>3653.3325</v>
      </c>
      <c r="AI52" s="373">
        <f t="shared" si="51"/>
        <v>40428</v>
      </c>
      <c r="AJ52" s="376">
        <f t="shared" si="80"/>
        <v>1364.4450000000002</v>
      </c>
      <c r="AK52" s="373">
        <f t="shared" si="52"/>
        <v>3653.3325</v>
      </c>
      <c r="AL52" s="373">
        <f t="shared" si="53"/>
        <v>45481.5</v>
      </c>
      <c r="AM52" s="376">
        <f t="shared" si="82"/>
        <v>1364.4450000000002</v>
      </c>
      <c r="AN52" s="373">
        <f t="shared" si="54"/>
        <v>3653.3325</v>
      </c>
      <c r="AO52" s="373">
        <f t="shared" si="55"/>
        <v>50535</v>
      </c>
      <c r="AP52" s="376">
        <f>H52*0.27</f>
        <v>1364.4450000000002</v>
      </c>
      <c r="AQ52" s="373">
        <f t="shared" si="70"/>
        <v>3649.9369638000003</v>
      </c>
      <c r="AR52" s="373">
        <f t="shared" si="57"/>
        <v>55588.5</v>
      </c>
      <c r="AS52" s="376">
        <f>H52*0.27</f>
        <v>1364.4450000000002</v>
      </c>
      <c r="AT52" s="373">
        <f t="shared" si="59"/>
        <v>3653.3325</v>
      </c>
      <c r="AU52" s="373">
        <f t="shared" si="60"/>
        <v>60642</v>
      </c>
      <c r="AV52" s="376">
        <f t="shared" si="83"/>
        <v>1364.4450000000002</v>
      </c>
      <c r="AW52" s="373">
        <f t="shared" si="62"/>
        <v>3653.3325</v>
      </c>
      <c r="AX52" s="292"/>
    </row>
    <row r="53" spans="1:50" ht="63" customHeight="1" x14ac:dyDescent="0.45">
      <c r="A53" s="752" t="s">
        <v>173</v>
      </c>
      <c r="B53" s="753"/>
      <c r="C53" s="241">
        <v>125</v>
      </c>
      <c r="D53" s="234">
        <v>3330.68</v>
      </c>
      <c r="E53" s="234">
        <v>4163.3499999999995</v>
      </c>
      <c r="F53" s="234">
        <f t="shared" si="34"/>
        <v>7494.0299999999988</v>
      </c>
      <c r="G53" s="233">
        <v>278</v>
      </c>
      <c r="H53" s="353">
        <f t="shared" si="63"/>
        <v>3843.7164999999995</v>
      </c>
      <c r="I53" s="391">
        <v>0.19</v>
      </c>
      <c r="J53" s="362">
        <v>3023</v>
      </c>
      <c r="K53" s="361">
        <f t="shared" si="12"/>
        <v>2998.7066259999992</v>
      </c>
      <c r="L53" s="390">
        <f t="shared" si="64"/>
        <v>3190.1134319148928</v>
      </c>
      <c r="M53" s="372">
        <f t="shared" si="13"/>
        <v>27.203328899999995</v>
      </c>
      <c r="N53" s="373">
        <f t="shared" si="14"/>
        <v>3843.7164999999995</v>
      </c>
      <c r="O53" s="378">
        <f t="shared" si="78"/>
        <v>576.55747499999995</v>
      </c>
      <c r="P53" s="373">
        <f t="shared" si="36"/>
        <v>3239.9556960999994</v>
      </c>
      <c r="Q53" s="373">
        <f t="shared" si="15"/>
        <v>7687.4329999999991</v>
      </c>
      <c r="R53" s="378">
        <f>H53*0.15</f>
        <v>576.55747499999995</v>
      </c>
      <c r="S53" s="373">
        <f t="shared" si="37"/>
        <v>3239.9556960999994</v>
      </c>
      <c r="T53" s="373">
        <f t="shared" si="38"/>
        <v>11531.1495</v>
      </c>
      <c r="U53" s="374">
        <f>(T53-10000)*0.2+(10000-Q53)*0.15</f>
        <v>653.11495000000014</v>
      </c>
      <c r="V53" s="373">
        <f t="shared" si="40"/>
        <v>3163.3982210999993</v>
      </c>
      <c r="W53" s="373">
        <f t="shared" si="41"/>
        <v>15374.865999999998</v>
      </c>
      <c r="X53" s="374">
        <f t="shared" ref="X53:X54" si="84">H53*0.2</f>
        <v>768.74329999999998</v>
      </c>
      <c r="Y53" s="373">
        <f t="shared" si="43"/>
        <v>3047.7698710999994</v>
      </c>
      <c r="Z53" s="373">
        <f t="shared" si="44"/>
        <v>19218.582499999997</v>
      </c>
      <c r="AA53" s="374">
        <f>H53*0.2</f>
        <v>768.74329999999998</v>
      </c>
      <c r="AB53" s="373">
        <f t="shared" si="46"/>
        <v>3047.7698710999994</v>
      </c>
      <c r="AC53" s="373">
        <f t="shared" si="47"/>
        <v>23062.298999999999</v>
      </c>
      <c r="AD53" s="374">
        <f>H53*0.2</f>
        <v>768.74329999999998</v>
      </c>
      <c r="AE53" s="373">
        <f t="shared" si="48"/>
        <v>3047.7698710999994</v>
      </c>
      <c r="AF53" s="373">
        <f t="shared" si="49"/>
        <v>26906.015499999998</v>
      </c>
      <c r="AG53" s="376">
        <f>(AF53-25000)*0.27+(25000-AC53)*0.2</f>
        <v>902.16438499999958</v>
      </c>
      <c r="AH53" s="373">
        <f t="shared" si="50"/>
        <v>2914.3487860999999</v>
      </c>
      <c r="AI53" s="373">
        <f t="shared" si="51"/>
        <v>30749.731999999996</v>
      </c>
      <c r="AJ53" s="376">
        <f t="shared" si="80"/>
        <v>1037.803455</v>
      </c>
      <c r="AK53" s="373">
        <f t="shared" si="52"/>
        <v>2778.7097160999992</v>
      </c>
      <c r="AL53" s="373">
        <f t="shared" si="53"/>
        <v>34593.448499999999</v>
      </c>
      <c r="AM53" s="376">
        <f t="shared" si="82"/>
        <v>1037.803455</v>
      </c>
      <c r="AN53" s="373">
        <f t="shared" si="54"/>
        <v>2778.7097160999992</v>
      </c>
      <c r="AO53" s="373">
        <f t="shared" si="55"/>
        <v>38437.164999999994</v>
      </c>
      <c r="AP53" s="376">
        <f t="shared" ref="AP53:AP54" si="85">H53*0.27</f>
        <v>1037.803455</v>
      </c>
      <c r="AQ53" s="373">
        <f t="shared" si="70"/>
        <v>2448.6726348999996</v>
      </c>
      <c r="AR53" s="373">
        <f t="shared" si="57"/>
        <v>42280.881499999996</v>
      </c>
      <c r="AS53" s="376">
        <f t="shared" ref="AS53:AS54" si="86">H53*0.27</f>
        <v>1037.803455</v>
      </c>
      <c r="AT53" s="373">
        <f t="shared" si="59"/>
        <v>2778.7097160999992</v>
      </c>
      <c r="AU53" s="373">
        <f t="shared" si="60"/>
        <v>46124.597999999998</v>
      </c>
      <c r="AV53" s="376">
        <f t="shared" si="83"/>
        <v>1037.803455</v>
      </c>
      <c r="AW53" s="373">
        <f t="shared" si="62"/>
        <v>2778.7097160999992</v>
      </c>
      <c r="AX53" s="292"/>
    </row>
    <row r="54" spans="1:50" ht="29.25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34"/>
        <v>4996.01</v>
      </c>
      <c r="G54" s="233">
        <v>278</v>
      </c>
      <c r="H54" s="353">
        <f t="shared" si="63"/>
        <v>3793.75</v>
      </c>
      <c r="I54" s="363">
        <v>0.63</v>
      </c>
      <c r="J54" s="362">
        <v>2822</v>
      </c>
      <c r="K54" s="361">
        <f t="shared" si="12"/>
        <v>2961.4366136499998</v>
      </c>
      <c r="L54" s="390">
        <f t="shared" si="64"/>
        <v>3150.4644826063827</v>
      </c>
      <c r="M54" s="372">
        <f t="shared" si="13"/>
        <v>26.873550000000002</v>
      </c>
      <c r="N54" s="373">
        <f t="shared" si="14"/>
        <v>3793.75</v>
      </c>
      <c r="O54" s="378">
        <f t="shared" si="78"/>
        <v>569.0625</v>
      </c>
      <c r="P54" s="373">
        <f t="shared" si="36"/>
        <v>3197.8139500000002</v>
      </c>
      <c r="Q54" s="373">
        <f t="shared" si="15"/>
        <v>7587.5</v>
      </c>
      <c r="R54" s="378">
        <f>H54*0.15</f>
        <v>569.0625</v>
      </c>
      <c r="S54" s="373">
        <f t="shared" si="37"/>
        <v>3197.8139500000002</v>
      </c>
      <c r="T54" s="373">
        <f t="shared" si="38"/>
        <v>11381.25</v>
      </c>
      <c r="U54" s="374">
        <f>(T54-10000)*0.2+(10000-Q54)*0.15</f>
        <v>638.125</v>
      </c>
      <c r="V54" s="373">
        <f t="shared" si="40"/>
        <v>3128.7514500000002</v>
      </c>
      <c r="W54" s="373">
        <f t="shared" si="41"/>
        <v>15175</v>
      </c>
      <c r="X54" s="374">
        <f t="shared" si="84"/>
        <v>758.75</v>
      </c>
      <c r="Y54" s="373">
        <f t="shared" si="43"/>
        <v>3008.1264500000002</v>
      </c>
      <c r="Z54" s="373">
        <f t="shared" si="44"/>
        <v>18968.75</v>
      </c>
      <c r="AA54" s="374">
        <f>H54*0.2</f>
        <v>758.75</v>
      </c>
      <c r="AB54" s="373">
        <f t="shared" si="46"/>
        <v>3008.1264500000002</v>
      </c>
      <c r="AC54" s="373">
        <f t="shared" si="47"/>
        <v>22762.5</v>
      </c>
      <c r="AD54" s="374">
        <f>H54*0.2</f>
        <v>758.75</v>
      </c>
      <c r="AE54" s="373">
        <f t="shared" si="48"/>
        <v>3008.1264500000002</v>
      </c>
      <c r="AF54" s="373">
        <f t="shared" si="49"/>
        <v>26556.25</v>
      </c>
      <c r="AG54" s="376">
        <f>(AF54-25000)*0.27+(25000-AC54)*0.2</f>
        <v>867.6875</v>
      </c>
      <c r="AH54" s="373">
        <f t="shared" si="50"/>
        <v>2899.1889500000002</v>
      </c>
      <c r="AI54" s="373">
        <f t="shared" si="51"/>
        <v>30350</v>
      </c>
      <c r="AJ54" s="376">
        <f t="shared" si="80"/>
        <v>1024.3125</v>
      </c>
      <c r="AK54" s="373">
        <f t="shared" si="52"/>
        <v>2742.5639500000002</v>
      </c>
      <c r="AL54" s="373">
        <f t="shared" si="53"/>
        <v>34143.75</v>
      </c>
      <c r="AM54" s="376">
        <f t="shared" si="82"/>
        <v>1024.3125</v>
      </c>
      <c r="AN54" s="373">
        <f t="shared" si="54"/>
        <v>2742.5639500000002</v>
      </c>
      <c r="AO54" s="373">
        <f t="shared" si="55"/>
        <v>37937.5</v>
      </c>
      <c r="AP54" s="376">
        <f t="shared" si="85"/>
        <v>1024.3125</v>
      </c>
      <c r="AQ54" s="373">
        <f t="shared" si="70"/>
        <v>2399.0359138000003</v>
      </c>
      <c r="AR54" s="373">
        <f t="shared" si="57"/>
        <v>41731.25</v>
      </c>
      <c r="AS54" s="376">
        <f t="shared" si="86"/>
        <v>1024.3125</v>
      </c>
      <c r="AT54" s="373">
        <f t="shared" si="59"/>
        <v>2742.5639500000002</v>
      </c>
      <c r="AU54" s="373">
        <f t="shared" si="60"/>
        <v>45525</v>
      </c>
      <c r="AV54" s="376">
        <f t="shared" si="83"/>
        <v>1024.3125</v>
      </c>
      <c r="AW54" s="373">
        <f t="shared" si="62"/>
        <v>2742.5639500000002</v>
      </c>
      <c r="AX54" s="292"/>
    </row>
    <row r="55" spans="1:50" x14ac:dyDescent="0.35">
      <c r="AM55" s="379"/>
    </row>
  </sheetData>
  <mergeCells count="11">
    <mergeCell ref="A28:B28"/>
    <mergeCell ref="A1:F1"/>
    <mergeCell ref="A4:B4"/>
    <mergeCell ref="A6:A14"/>
    <mergeCell ref="A15:A23"/>
    <mergeCell ref="A24:A27"/>
    <mergeCell ref="A30:A38"/>
    <mergeCell ref="A39:A46"/>
    <mergeCell ref="A47:A52"/>
    <mergeCell ref="A53:B53"/>
    <mergeCell ref="A54:B5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50" zoomScaleNormal="50" workbookViewId="0">
      <selection activeCell="F3" sqref="F3"/>
    </sheetView>
  </sheetViews>
  <sheetFormatPr defaultRowHeight="15" x14ac:dyDescent="0.25"/>
  <cols>
    <col min="1" max="1" width="23.140625" customWidth="1"/>
    <col min="2" max="2" width="85.42578125" customWidth="1"/>
    <col min="3" max="6" width="19.42578125" customWidth="1"/>
    <col min="7" max="7" width="16.5703125" style="443" customWidth="1"/>
    <col min="8" max="8" width="21.5703125" customWidth="1"/>
    <col min="9" max="9" width="21.85546875" customWidth="1"/>
    <col min="10" max="10" width="30.5703125" customWidth="1"/>
  </cols>
  <sheetData>
    <row r="1" spans="1:10" ht="78.75" x14ac:dyDescent="0.25">
      <c r="A1" s="749" t="s">
        <v>2</v>
      </c>
      <c r="B1" s="749"/>
      <c r="C1" s="460" t="s">
        <v>3</v>
      </c>
      <c r="D1" s="460" t="s">
        <v>229</v>
      </c>
      <c r="E1" s="460" t="s">
        <v>253</v>
      </c>
      <c r="F1" s="460" t="s">
        <v>231</v>
      </c>
      <c r="G1" s="460" t="s">
        <v>37</v>
      </c>
      <c r="H1" s="439" t="s">
        <v>206</v>
      </c>
      <c r="I1" s="439" t="s">
        <v>287</v>
      </c>
      <c r="J1" s="465" t="s">
        <v>286</v>
      </c>
    </row>
    <row r="2" spans="1:10" ht="36" customHeight="1" x14ac:dyDescent="0.45">
      <c r="A2" s="745" t="s">
        <v>28</v>
      </c>
      <c r="B2" s="418" t="s">
        <v>215</v>
      </c>
      <c r="C2" s="406">
        <v>600</v>
      </c>
      <c r="D2" s="419">
        <v>4996.0199999999995</v>
      </c>
      <c r="E2" s="419">
        <v>19984.079999999998</v>
      </c>
      <c r="F2" s="419">
        <v>24980.1</v>
      </c>
      <c r="G2" s="363">
        <v>0.64</v>
      </c>
      <c r="H2" s="455">
        <v>11900</v>
      </c>
      <c r="I2" s="451">
        <v>11922.396284898537</v>
      </c>
      <c r="J2" s="361">
        <v>12266.476312341731</v>
      </c>
    </row>
    <row r="3" spans="1:10" ht="36" customHeight="1" x14ac:dyDescent="0.45">
      <c r="A3" s="745"/>
      <c r="B3" s="409" t="s">
        <v>214</v>
      </c>
      <c r="C3" s="410">
        <v>600</v>
      </c>
      <c r="D3" s="411">
        <v>4996.0199999999995</v>
      </c>
      <c r="E3" s="411">
        <v>19984.079999999998</v>
      </c>
      <c r="F3" s="411">
        <v>24980.1</v>
      </c>
      <c r="G3" s="363">
        <v>0.33</v>
      </c>
      <c r="H3" s="454">
        <v>8000</v>
      </c>
      <c r="I3" s="451">
        <v>8005.7978475177342</v>
      </c>
      <c r="J3" s="361">
        <v>8183.2141116681332</v>
      </c>
    </row>
    <row r="4" spans="1:10" ht="36" customHeight="1" x14ac:dyDescent="0.45">
      <c r="A4" s="745"/>
      <c r="B4" s="418" t="s">
        <v>220</v>
      </c>
      <c r="C4" s="406">
        <v>600</v>
      </c>
      <c r="D4" s="419">
        <v>4996.0199999999995</v>
      </c>
      <c r="E4" s="419">
        <v>19984.079999999998</v>
      </c>
      <c r="F4" s="419">
        <v>16231.55401011872</v>
      </c>
      <c r="G4" s="363">
        <v>0.25</v>
      </c>
      <c r="H4" s="455">
        <v>6844</v>
      </c>
      <c r="I4" s="451">
        <v>6968.3928282366678</v>
      </c>
      <c r="J4" s="361">
        <v>7114.7895369566641</v>
      </c>
    </row>
    <row r="5" spans="1:10" ht="36" customHeight="1" x14ac:dyDescent="0.45">
      <c r="A5" s="745"/>
      <c r="B5" s="409" t="s">
        <v>32</v>
      </c>
      <c r="C5" s="410">
        <v>450</v>
      </c>
      <c r="D5" s="411">
        <v>4996.0199999999995</v>
      </c>
      <c r="E5" s="411">
        <v>14988.06</v>
      </c>
      <c r="F5" s="411">
        <v>19984.079999999998</v>
      </c>
      <c r="G5" s="363">
        <v>0.6</v>
      </c>
      <c r="H5" s="454">
        <v>9500</v>
      </c>
      <c r="I5" s="451">
        <v>9521.9004684393349</v>
      </c>
      <c r="J5" s="361">
        <v>9763.8317377353342</v>
      </c>
    </row>
    <row r="6" spans="1:10" ht="36" customHeight="1" x14ac:dyDescent="0.45">
      <c r="A6" s="745"/>
      <c r="B6" s="418" t="s">
        <v>237</v>
      </c>
      <c r="C6" s="406">
        <v>450</v>
      </c>
      <c r="D6" s="419">
        <v>4996.0199999999995</v>
      </c>
      <c r="E6" s="419">
        <v>14988.06</v>
      </c>
      <c r="F6" s="419">
        <v>19984.079999999998</v>
      </c>
      <c r="G6" s="363">
        <v>0.48</v>
      </c>
      <c r="H6" s="455">
        <v>8300</v>
      </c>
      <c r="I6" s="451">
        <v>8384.8235027481333</v>
      </c>
      <c r="J6" s="361">
        <v>8578.3685181849305</v>
      </c>
    </row>
    <row r="7" spans="1:10" ht="36" customHeight="1" x14ac:dyDescent="0.45">
      <c r="A7" s="745"/>
      <c r="B7" s="409" t="s">
        <v>234</v>
      </c>
      <c r="C7" s="410">
        <v>300</v>
      </c>
      <c r="D7" s="411">
        <v>4996.0199999999995</v>
      </c>
      <c r="E7" s="411">
        <v>9992.0399999999991</v>
      </c>
      <c r="F7" s="411">
        <v>14988.059999999998</v>
      </c>
      <c r="G7" s="363">
        <v>0.55000000000000004</v>
      </c>
      <c r="H7" s="454">
        <v>7300</v>
      </c>
      <c r="I7" s="451">
        <v>7310.917479595334</v>
      </c>
      <c r="J7" s="361">
        <v>7458.7643663873341</v>
      </c>
    </row>
    <row r="8" spans="1:10" ht="36" customHeight="1" x14ac:dyDescent="0.45">
      <c r="A8" s="745"/>
      <c r="B8" s="418" t="s">
        <v>242</v>
      </c>
      <c r="C8" s="406">
        <v>300</v>
      </c>
      <c r="D8" s="419">
        <v>4996.0199999999995</v>
      </c>
      <c r="E8" s="419">
        <v>9992.0399999999991</v>
      </c>
      <c r="F8" s="419">
        <v>14988.059999999998</v>
      </c>
      <c r="G8" s="363">
        <v>0.55000000000000004</v>
      </c>
      <c r="H8" s="455">
        <v>7100</v>
      </c>
      <c r="I8" s="451">
        <v>7138.9861377786683</v>
      </c>
      <c r="J8" s="361">
        <v>7280.4214655706674</v>
      </c>
    </row>
    <row r="9" spans="1:10" ht="36" customHeight="1" x14ac:dyDescent="0.45">
      <c r="A9" s="745"/>
      <c r="B9" s="409" t="s">
        <v>235</v>
      </c>
      <c r="C9" s="410">
        <v>300</v>
      </c>
      <c r="D9" s="411">
        <v>4996.0199999999995</v>
      </c>
      <c r="E9" s="411">
        <v>9992.0399999999991</v>
      </c>
      <c r="F9" s="411">
        <v>14988.059999999998</v>
      </c>
      <c r="G9" s="363">
        <v>0.5</v>
      </c>
      <c r="H9" s="454">
        <v>6900</v>
      </c>
      <c r="I9" s="451">
        <v>6968.3928282366678</v>
      </c>
      <c r="J9" s="361">
        <v>7114.7895369566641</v>
      </c>
    </row>
    <row r="10" spans="1:10" ht="36" customHeight="1" x14ac:dyDescent="0.45">
      <c r="A10" s="745"/>
      <c r="B10" s="424" t="s">
        <v>224</v>
      </c>
      <c r="C10" s="406">
        <v>300</v>
      </c>
      <c r="D10" s="419">
        <v>4996.0199999999995</v>
      </c>
      <c r="E10" s="419">
        <v>9992.0399999999991</v>
      </c>
      <c r="F10" s="419">
        <v>14988.059999999998</v>
      </c>
      <c r="G10" s="391">
        <v>0.19</v>
      </c>
      <c r="H10" s="455">
        <v>4900</v>
      </c>
      <c r="I10" s="451">
        <v>4921.0140934395986</v>
      </c>
      <c r="J10" s="361">
        <v>4977.6573694732006</v>
      </c>
    </row>
    <row r="11" spans="1:10" ht="36" customHeight="1" x14ac:dyDescent="0.45">
      <c r="A11" s="745" t="s">
        <v>29</v>
      </c>
      <c r="B11" s="409" t="s">
        <v>221</v>
      </c>
      <c r="C11" s="410">
        <v>600</v>
      </c>
      <c r="D11" s="411">
        <v>4996.0199999999995</v>
      </c>
      <c r="E11" s="411">
        <v>19984.079999999998</v>
      </c>
      <c r="F11" s="411">
        <v>24980.1</v>
      </c>
      <c r="G11" s="363">
        <v>0.62</v>
      </c>
      <c r="H11" s="454">
        <v>11600</v>
      </c>
      <c r="I11" s="451">
        <v>11669.712514744928</v>
      </c>
      <c r="J11" s="361">
        <v>12003.040041330532</v>
      </c>
    </row>
    <row r="12" spans="1:10" ht="36" customHeight="1" x14ac:dyDescent="0.45">
      <c r="A12" s="745"/>
      <c r="B12" s="418" t="s">
        <v>222</v>
      </c>
      <c r="C12" s="406">
        <v>600</v>
      </c>
      <c r="D12" s="419">
        <v>4996.0199999999995</v>
      </c>
      <c r="E12" s="419">
        <v>19984.079999999998</v>
      </c>
      <c r="F12" s="419">
        <v>24980.1</v>
      </c>
      <c r="G12" s="363">
        <v>0.33</v>
      </c>
      <c r="H12" s="455">
        <v>7900</v>
      </c>
      <c r="I12" s="451">
        <v>8005.7978475177342</v>
      </c>
      <c r="J12" s="361">
        <v>8183.2141116681332</v>
      </c>
    </row>
    <row r="13" spans="1:10" ht="36" customHeight="1" x14ac:dyDescent="0.45">
      <c r="A13" s="745"/>
      <c r="B13" s="409" t="s">
        <v>32</v>
      </c>
      <c r="C13" s="410">
        <v>450</v>
      </c>
      <c r="D13" s="411">
        <v>4996.0199999999995</v>
      </c>
      <c r="E13" s="411">
        <v>14988.06</v>
      </c>
      <c r="F13" s="411">
        <v>19984.079999999998</v>
      </c>
      <c r="G13" s="363">
        <v>0.55000000000000004</v>
      </c>
      <c r="H13" s="454">
        <v>9000</v>
      </c>
      <c r="I13" s="451">
        <v>9048.1183994013318</v>
      </c>
      <c r="J13" s="361">
        <v>9269.8887295893346</v>
      </c>
    </row>
    <row r="14" spans="1:10" ht="36" customHeight="1" x14ac:dyDescent="0.45">
      <c r="A14" s="745"/>
      <c r="B14" s="418" t="s">
        <v>237</v>
      </c>
      <c r="C14" s="406">
        <v>450</v>
      </c>
      <c r="D14" s="419">
        <v>4996.0199999999995</v>
      </c>
      <c r="E14" s="419">
        <v>14988.06</v>
      </c>
      <c r="F14" s="419">
        <v>19984.079999999998</v>
      </c>
      <c r="G14" s="363">
        <v>0.44</v>
      </c>
      <c r="H14" s="455">
        <v>8000</v>
      </c>
      <c r="I14" s="451">
        <v>8005.7978475177342</v>
      </c>
      <c r="J14" s="361">
        <v>8183.2141116681314</v>
      </c>
    </row>
    <row r="15" spans="1:10" ht="36" customHeight="1" x14ac:dyDescent="0.45">
      <c r="A15" s="745"/>
      <c r="B15" s="409" t="s">
        <v>225</v>
      </c>
      <c r="C15" s="410">
        <v>450</v>
      </c>
      <c r="D15" s="411">
        <v>4996.0199999999995</v>
      </c>
      <c r="E15" s="411">
        <v>14988.06</v>
      </c>
      <c r="F15" s="411">
        <v>19984.079999999998</v>
      </c>
      <c r="G15" s="363">
        <v>0.34</v>
      </c>
      <c r="H15" s="454">
        <v>7000</v>
      </c>
      <c r="I15" s="451">
        <v>7037.1992813350671</v>
      </c>
      <c r="J15" s="361">
        <v>7186.5239242294656</v>
      </c>
    </row>
    <row r="16" spans="1:10" ht="36" customHeight="1" x14ac:dyDescent="0.45">
      <c r="A16" s="745"/>
      <c r="B16" s="418" t="s">
        <v>243</v>
      </c>
      <c r="C16" s="406">
        <v>450</v>
      </c>
      <c r="D16" s="419">
        <v>4996.0199999999995</v>
      </c>
      <c r="E16" s="419">
        <v>14988.06</v>
      </c>
      <c r="F16" s="419">
        <v>19984.079999999998</v>
      </c>
      <c r="G16" s="363">
        <v>0.31</v>
      </c>
      <c r="H16" s="455">
        <v>6700</v>
      </c>
      <c r="I16" s="451">
        <v>6727.5702423922676</v>
      </c>
      <c r="J16" s="361">
        <v>6863.7191815018641</v>
      </c>
    </row>
    <row r="17" spans="1:10" ht="36" customHeight="1" x14ac:dyDescent="0.45">
      <c r="A17" s="745"/>
      <c r="B17" s="409" t="s">
        <v>226</v>
      </c>
      <c r="C17" s="410">
        <v>200</v>
      </c>
      <c r="D17" s="411">
        <v>4996.0199999999995</v>
      </c>
      <c r="E17" s="411">
        <v>6661.36</v>
      </c>
      <c r="F17" s="411">
        <v>11657.38</v>
      </c>
      <c r="G17" s="363">
        <v>0.73</v>
      </c>
      <c r="H17" s="454">
        <v>6800</v>
      </c>
      <c r="I17" s="451">
        <v>6876.6508907721336</v>
      </c>
      <c r="J17" s="361">
        <v>7019.1436872596023</v>
      </c>
    </row>
    <row r="18" spans="1:10" ht="36" customHeight="1" x14ac:dyDescent="0.45">
      <c r="A18" s="745"/>
      <c r="B18" s="418" t="s">
        <v>227</v>
      </c>
      <c r="C18" s="406">
        <v>200</v>
      </c>
      <c r="D18" s="419">
        <v>4996.0199999999995</v>
      </c>
      <c r="E18" s="419">
        <v>6661.36</v>
      </c>
      <c r="F18" s="419">
        <v>11657.38</v>
      </c>
      <c r="G18" s="363">
        <v>0.55000000000000004</v>
      </c>
      <c r="H18" s="455">
        <v>6000</v>
      </c>
      <c r="I18" s="451">
        <v>6092.9747501246666</v>
      </c>
      <c r="J18" s="361">
        <v>6179.8153477193327</v>
      </c>
    </row>
    <row r="19" spans="1:10" ht="36" customHeight="1" x14ac:dyDescent="0.45">
      <c r="A19" s="746" t="s">
        <v>31</v>
      </c>
      <c r="B19" s="409" t="s">
        <v>32</v>
      </c>
      <c r="C19" s="410">
        <v>270</v>
      </c>
      <c r="D19" s="411">
        <v>4996.0199999999995</v>
      </c>
      <c r="E19" s="411">
        <v>8992.8359999999993</v>
      </c>
      <c r="F19" s="411">
        <v>13988.856</v>
      </c>
      <c r="G19" s="363">
        <v>0.62</v>
      </c>
      <c r="H19" s="454">
        <v>7351</v>
      </c>
      <c r="I19" s="451">
        <v>7361.4542336260529</v>
      </c>
      <c r="J19" s="361">
        <v>7511.4516205895752</v>
      </c>
    </row>
    <row r="20" spans="1:10" ht="36" customHeight="1" x14ac:dyDescent="0.45">
      <c r="A20" s="746"/>
      <c r="B20" s="418" t="s">
        <v>225</v>
      </c>
      <c r="C20" s="406">
        <v>270</v>
      </c>
      <c r="D20" s="419">
        <v>4996.0199999999995</v>
      </c>
      <c r="E20" s="419">
        <v>8992.8359999999993</v>
      </c>
      <c r="F20" s="419">
        <v>13988.856</v>
      </c>
      <c r="G20" s="463">
        <v>0.4</v>
      </c>
      <c r="H20" s="455">
        <v>6000</v>
      </c>
      <c r="I20" s="451">
        <v>6057.2140624590656</v>
      </c>
      <c r="J20" s="361">
        <v>6153.0273343374674</v>
      </c>
    </row>
    <row r="21" spans="1:10" ht="36" customHeight="1" x14ac:dyDescent="0.45">
      <c r="A21" s="746"/>
      <c r="B21" s="409" t="s">
        <v>226</v>
      </c>
      <c r="C21" s="410">
        <v>180</v>
      </c>
      <c r="D21" s="411">
        <v>4996.0199999999995</v>
      </c>
      <c r="E21" s="411">
        <v>5995.2240000000002</v>
      </c>
      <c r="F21" s="411">
        <v>10991.243999999999</v>
      </c>
      <c r="G21" s="363">
        <v>0.62</v>
      </c>
      <c r="H21" s="454">
        <v>6100</v>
      </c>
      <c r="I21" s="451">
        <v>6132.2677920971464</v>
      </c>
      <c r="J21" s="361">
        <v>6231.2748397048263</v>
      </c>
    </row>
    <row r="22" spans="1:10" ht="36" customHeight="1" x14ac:dyDescent="0.45">
      <c r="A22" s="746"/>
      <c r="B22" s="418" t="s">
        <v>227</v>
      </c>
      <c r="C22" s="406">
        <v>180</v>
      </c>
      <c r="D22" s="419">
        <v>4996.0199999999995</v>
      </c>
      <c r="E22" s="419">
        <v>5995.2240000000002</v>
      </c>
      <c r="F22" s="419">
        <v>10991.243999999999</v>
      </c>
      <c r="G22" s="363">
        <v>0.44</v>
      </c>
      <c r="H22" s="455">
        <v>5400</v>
      </c>
      <c r="I22" s="451">
        <v>5439.4491303997593</v>
      </c>
      <c r="J22" s="361">
        <v>5518.1534718359208</v>
      </c>
    </row>
    <row r="23" spans="1:10" ht="36" customHeight="1" x14ac:dyDescent="0.45">
      <c r="A23" s="746"/>
      <c r="B23" s="436" t="s">
        <v>228</v>
      </c>
      <c r="C23" s="433">
        <v>180</v>
      </c>
      <c r="D23" s="411">
        <v>4996.0199999999995</v>
      </c>
      <c r="E23" s="411">
        <v>5995.2240000000002</v>
      </c>
      <c r="F23" s="411">
        <v>10991.243999999999</v>
      </c>
      <c r="G23" s="393">
        <v>0.1</v>
      </c>
      <c r="H23" s="454">
        <v>3900</v>
      </c>
      <c r="I23" s="451">
        <v>4010.2498393203991</v>
      </c>
      <c r="J23" s="361">
        <v>4028.137189646799</v>
      </c>
    </row>
    <row r="24" spans="1:10" ht="36" customHeight="1" x14ac:dyDescent="0.45">
      <c r="A24" s="746"/>
      <c r="B24" s="424" t="s">
        <v>199</v>
      </c>
      <c r="C24" s="437">
        <v>125</v>
      </c>
      <c r="D24" s="419">
        <v>3331</v>
      </c>
      <c r="E24" s="419">
        <v>4163</v>
      </c>
      <c r="F24" s="419">
        <v>7494</v>
      </c>
      <c r="G24" s="391">
        <v>0.5</v>
      </c>
      <c r="H24" s="455">
        <v>3800</v>
      </c>
      <c r="I24" s="451">
        <v>3807.3940876499987</v>
      </c>
      <c r="J24" s="361">
        <v>3869.4977216500006</v>
      </c>
    </row>
    <row r="25" spans="1:10" ht="36" customHeight="1" x14ac:dyDescent="0.45">
      <c r="A25" s="747" t="s">
        <v>173</v>
      </c>
      <c r="B25" s="748"/>
      <c r="C25" s="456">
        <v>125</v>
      </c>
      <c r="D25" s="411">
        <v>3330.68</v>
      </c>
      <c r="E25" s="411">
        <v>4163.3499999999995</v>
      </c>
      <c r="F25" s="411">
        <v>7494.0299999999988</v>
      </c>
      <c r="G25" s="391">
        <v>0.19</v>
      </c>
      <c r="H25" s="454">
        <v>3023</v>
      </c>
      <c r="I25" s="451">
        <v>2963.3045784789997</v>
      </c>
      <c r="J25" s="361">
        <v>2986.905943493</v>
      </c>
    </row>
    <row r="26" spans="1:10" ht="36" customHeight="1" x14ac:dyDescent="0.45">
      <c r="A26" s="739" t="s">
        <v>174</v>
      </c>
      <c r="B26" s="739"/>
      <c r="C26" s="433">
        <v>75</v>
      </c>
      <c r="D26" s="411">
        <v>2498.0099999999998</v>
      </c>
      <c r="E26" s="411">
        <v>2498</v>
      </c>
      <c r="F26" s="411">
        <v>4996.01</v>
      </c>
      <c r="G26" s="363">
        <v>0.63</v>
      </c>
      <c r="H26" s="455">
        <v>2822</v>
      </c>
      <c r="I26" s="451">
        <v>2891.0054536900002</v>
      </c>
      <c r="J26" s="361">
        <v>2937.9595603299999</v>
      </c>
    </row>
  </sheetData>
  <mergeCells count="6">
    <mergeCell ref="A26:B26"/>
    <mergeCell ref="A1:B1"/>
    <mergeCell ref="A2:A10"/>
    <mergeCell ref="A11:A18"/>
    <mergeCell ref="A19:A24"/>
    <mergeCell ref="A25:B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"/>
  <sheetViews>
    <sheetView topLeftCell="A4" zoomScale="70" zoomScaleNormal="70" workbookViewId="0">
      <pane ySplit="25" topLeftCell="A29" activePane="bottomLeft" state="frozen"/>
      <selection activeCell="A4" sqref="A4"/>
      <selection pane="bottomLeft" activeCell="E57" sqref="E57"/>
    </sheetView>
  </sheetViews>
  <sheetFormatPr defaultRowHeight="21" x14ac:dyDescent="0.35"/>
  <cols>
    <col min="1" max="1" width="6.7109375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3.5703125" customWidth="1"/>
    <col min="10" max="10" width="24.42578125" customWidth="1"/>
    <col min="11" max="12" width="22.85546875" customWidth="1"/>
    <col min="13" max="13" width="26" customWidth="1"/>
    <col min="14" max="14" width="13.28515625" style="130" customWidth="1"/>
    <col min="15" max="15" width="16.140625" style="130" bestFit="1" customWidth="1"/>
    <col min="16" max="16" width="14.140625" style="130" bestFit="1" customWidth="1"/>
    <col min="17" max="18" width="16.140625" style="130" bestFit="1" customWidth="1"/>
    <col min="19" max="19" width="14.140625" style="130" bestFit="1" customWidth="1"/>
    <col min="20" max="21" width="16.140625" style="130" bestFit="1" customWidth="1"/>
    <col min="22" max="22" width="14.140625" style="130" bestFit="1" customWidth="1"/>
    <col min="23" max="24" width="16.140625" style="130" bestFit="1" customWidth="1"/>
    <col min="25" max="25" width="14.140625" style="130" bestFit="1" customWidth="1"/>
    <col min="26" max="27" width="16.140625" style="130" bestFit="1" customWidth="1"/>
    <col min="28" max="28" width="14.140625" style="130" bestFit="1" customWidth="1"/>
    <col min="29" max="29" width="16.140625" style="130" bestFit="1" customWidth="1"/>
    <col min="30" max="30" width="17.7109375" style="130" bestFit="1" customWidth="1"/>
    <col min="31" max="31" width="14.140625" style="130" bestFit="1" customWidth="1"/>
    <col min="32" max="32" width="16.140625" style="130" bestFit="1" customWidth="1"/>
    <col min="33" max="33" width="17.7109375" style="130" bestFit="1" customWidth="1"/>
    <col min="34" max="34" width="14.140625" style="130" bestFit="1" customWidth="1"/>
    <col min="35" max="35" width="16.140625" style="130" bestFit="1" customWidth="1"/>
    <col min="36" max="36" width="17.7109375" style="130" bestFit="1" customWidth="1"/>
    <col min="37" max="37" width="18.7109375" style="130" customWidth="1"/>
    <col min="38" max="38" width="16.140625" style="130" bestFit="1" customWidth="1"/>
    <col min="39" max="39" width="17.7109375" style="130" bestFit="1" customWidth="1"/>
    <col min="40" max="40" width="14.140625" style="130" bestFit="1" customWidth="1"/>
    <col min="41" max="41" width="16.140625" style="130" bestFit="1" customWidth="1"/>
    <col min="42" max="42" width="17.7109375" style="130" bestFit="1" customWidth="1"/>
    <col min="43" max="43" width="15.7109375" style="130" customWidth="1"/>
    <col min="44" max="44" width="16.140625" style="130" bestFit="1" customWidth="1"/>
    <col min="45" max="45" width="17.7109375" style="130" bestFit="1" customWidth="1"/>
    <col min="46" max="46" width="14.140625" style="130" bestFit="1" customWidth="1"/>
    <col min="47" max="47" width="16.140625" style="130" bestFit="1" customWidth="1"/>
    <col min="48" max="48" width="17.7109375" style="130" bestFit="1" customWidth="1"/>
    <col min="49" max="49" width="14.140625" style="130" bestFit="1" customWidth="1"/>
    <col min="50" max="50" width="16.140625" style="130" bestFit="1" customWidth="1"/>
    <col min="53" max="53" width="17.85546875" bestFit="1" customWidth="1"/>
  </cols>
  <sheetData>
    <row r="1" spans="1:53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3" ht="24" hidden="1" thickBot="1" x14ac:dyDescent="0.4">
      <c r="A2" s="192"/>
      <c r="B2" s="2"/>
      <c r="C2" s="2"/>
      <c r="D2" s="2"/>
      <c r="E2" s="2"/>
      <c r="F2" s="2"/>
      <c r="K2" s="385"/>
      <c r="L2" s="385"/>
      <c r="M2" s="385"/>
    </row>
    <row r="3" spans="1:53" ht="27" hidden="1" thickBot="1" x14ac:dyDescent="0.4">
      <c r="A3" s="236" t="s">
        <v>1</v>
      </c>
      <c r="B3" s="4"/>
      <c r="C3" s="4"/>
      <c r="D3" s="4"/>
      <c r="E3" s="4"/>
      <c r="F3" s="4"/>
    </row>
    <row r="4" spans="1:53" ht="65.25" customHeight="1" x14ac:dyDescent="0.25">
      <c r="A4" s="726" t="s">
        <v>2</v>
      </c>
      <c r="B4" s="726"/>
      <c r="C4" s="462" t="s">
        <v>3</v>
      </c>
      <c r="D4" s="462" t="s">
        <v>229</v>
      </c>
      <c r="E4" s="462" t="s">
        <v>253</v>
      </c>
      <c r="F4" s="462" t="s">
        <v>231</v>
      </c>
      <c r="G4" s="395" t="s">
        <v>244</v>
      </c>
      <c r="H4" s="395" t="s">
        <v>249</v>
      </c>
      <c r="I4" s="352" t="s">
        <v>37</v>
      </c>
      <c r="J4" s="364" t="s">
        <v>279</v>
      </c>
      <c r="K4" s="364" t="s">
        <v>290</v>
      </c>
      <c r="L4" s="389" t="s">
        <v>289</v>
      </c>
      <c r="M4" s="476" t="s">
        <v>288</v>
      </c>
      <c r="N4" s="365" t="s">
        <v>245</v>
      </c>
      <c r="O4" s="365">
        <v>1</v>
      </c>
      <c r="P4" s="365" t="s">
        <v>255</v>
      </c>
      <c r="Q4" s="365" t="s">
        <v>267</v>
      </c>
      <c r="R4" s="365">
        <v>2</v>
      </c>
      <c r="S4" s="365" t="s">
        <v>256</v>
      </c>
      <c r="T4" s="365" t="s">
        <v>268</v>
      </c>
      <c r="U4" s="365">
        <v>3</v>
      </c>
      <c r="V4" s="365" t="s">
        <v>257</v>
      </c>
      <c r="W4" s="365" t="s">
        <v>278</v>
      </c>
      <c r="X4" s="365">
        <v>4</v>
      </c>
      <c r="Y4" s="365" t="s">
        <v>258</v>
      </c>
      <c r="Z4" s="365" t="s">
        <v>277</v>
      </c>
      <c r="AA4" s="365">
        <v>5</v>
      </c>
      <c r="AB4" s="365" t="s">
        <v>259</v>
      </c>
      <c r="AC4" s="365" t="s">
        <v>276</v>
      </c>
      <c r="AD4" s="365">
        <v>6</v>
      </c>
      <c r="AE4" s="365" t="s">
        <v>260</v>
      </c>
      <c r="AF4" s="365" t="s">
        <v>275</v>
      </c>
      <c r="AG4" s="365">
        <v>7</v>
      </c>
      <c r="AH4" s="365" t="s">
        <v>261</v>
      </c>
      <c r="AI4" s="365" t="s">
        <v>274</v>
      </c>
      <c r="AJ4" s="365">
        <v>8</v>
      </c>
      <c r="AK4" s="365" t="s">
        <v>262</v>
      </c>
      <c r="AL4" s="365" t="s">
        <v>273</v>
      </c>
      <c r="AM4" s="365">
        <v>9</v>
      </c>
      <c r="AN4" s="365" t="s">
        <v>263</v>
      </c>
      <c r="AO4" s="365" t="s">
        <v>272</v>
      </c>
      <c r="AP4" s="365">
        <v>10</v>
      </c>
      <c r="AQ4" s="365" t="s">
        <v>264</v>
      </c>
      <c r="AR4" s="365" t="s">
        <v>271</v>
      </c>
      <c r="AS4" s="365">
        <v>11</v>
      </c>
      <c r="AT4" s="365" t="s">
        <v>265</v>
      </c>
      <c r="AU4" s="365" t="s">
        <v>270</v>
      </c>
      <c r="AV4" s="365">
        <v>12</v>
      </c>
      <c r="AW4" s="366" t="s">
        <v>266</v>
      </c>
      <c r="AX4" s="366" t="s">
        <v>269</v>
      </c>
    </row>
    <row r="5" spans="1:53" s="233" customFormat="1" ht="33.75" hidden="1" customHeight="1" x14ac:dyDescent="0.45">
      <c r="A5" s="229"/>
      <c r="B5" s="346"/>
      <c r="C5" s="231"/>
      <c r="D5" s="231"/>
      <c r="E5" s="231"/>
      <c r="F5" s="231"/>
      <c r="H5" s="357">
        <v>0.93</v>
      </c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1"/>
    </row>
    <row r="6" spans="1:53" s="233" customFormat="1" ht="30" hidden="1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18227.499739999999</v>
      </c>
      <c r="I6" s="463">
        <v>0.7</v>
      </c>
      <c r="J6" s="362">
        <v>12600</v>
      </c>
      <c r="K6" s="361">
        <f>((Q6+T6+W6+Z6+AC6+AF6+AI6+AL6+AO6+AR6+AU6+AX6)/12)+60</f>
        <v>12559.370599382668</v>
      </c>
      <c r="L6" s="390"/>
      <c r="M6" s="390">
        <f t="shared" ref="M6:M28" si="0">K6/0.93</f>
        <v>13504.699569228675</v>
      </c>
      <c r="N6" s="372">
        <f>(H6+G6)*0.0066</f>
        <v>122.67089828399999</v>
      </c>
      <c r="O6" s="373">
        <f>$H6*O$4</f>
        <v>18227.499739999999</v>
      </c>
      <c r="P6" s="374">
        <f>(O6-10000)*0.2+10000*0.15</f>
        <v>3145.4999479999997</v>
      </c>
      <c r="Q6" s="373">
        <f>H6-N6-P6</f>
        <v>14959.328893716</v>
      </c>
      <c r="R6" s="373">
        <f>$H6*2</f>
        <v>36454.999479999999</v>
      </c>
      <c r="S6" s="376">
        <f>(R6-25000)*0.27+4500-P6</f>
        <v>4447.3499116000003</v>
      </c>
      <c r="T6" s="373">
        <f>H6-N6-S6</f>
        <v>13657.478930116</v>
      </c>
      <c r="U6" s="373">
        <f t="shared" ref="U6:U28" si="1">H6*3</f>
        <v>54682.499219999998</v>
      </c>
      <c r="V6" s="376">
        <f>O6*0.27</f>
        <v>4921.4249298000004</v>
      </c>
      <c r="W6" s="373">
        <f>H6-N6-V6</f>
        <v>13183.403911916001</v>
      </c>
      <c r="X6" s="373">
        <f t="shared" ref="X6:X28" si="2">H6*4</f>
        <v>72909.998959999997</v>
      </c>
      <c r="Y6" s="376">
        <f t="shared" ref="Y6:Y22" si="3">H6*0.27</f>
        <v>4921.4249298000004</v>
      </c>
      <c r="Z6" s="373">
        <f>H6-N6-Y6</f>
        <v>13183.403911916001</v>
      </c>
      <c r="AA6" s="373">
        <f t="shared" ref="AA6:AA28" si="4">H6*5</f>
        <v>91137.498699999996</v>
      </c>
      <c r="AB6" s="377">
        <f>(AA6-88000)*0.35+(88000-X6)*0.27</f>
        <v>5172.4248257999998</v>
      </c>
      <c r="AC6" s="373">
        <f>H6-N6-AB6</f>
        <v>12932.404015915999</v>
      </c>
      <c r="AD6" s="373">
        <f t="shared" ref="AD6:AD28" si="5">H6*6</f>
        <v>109364.99844</v>
      </c>
      <c r="AE6" s="377">
        <f>$H$6*0.35</f>
        <v>6379.6249089999992</v>
      </c>
      <c r="AF6" s="373">
        <f>H6-N6-AE6</f>
        <v>11725.203932716002</v>
      </c>
      <c r="AG6" s="373">
        <f t="shared" ref="AG6:AG28" si="6">H6*7</f>
        <v>127592.49818</v>
      </c>
      <c r="AH6" s="377">
        <f>$H$6*0.35</f>
        <v>6379.6249089999992</v>
      </c>
      <c r="AI6" s="373">
        <f>H6-N6-AH6</f>
        <v>11725.203932716002</v>
      </c>
      <c r="AJ6" s="373">
        <f t="shared" ref="AJ6:AJ28" si="7">H6*8</f>
        <v>145819.99791999999</v>
      </c>
      <c r="AK6" s="377">
        <f>$H$6*0.35</f>
        <v>6379.6249089999992</v>
      </c>
      <c r="AL6" s="373">
        <f>H6-N6-AK6</f>
        <v>11725.203932716002</v>
      </c>
      <c r="AM6" s="373">
        <f t="shared" ref="AM6:AM28" si="8">H6*9</f>
        <v>164047.49765999999</v>
      </c>
      <c r="AN6" s="377">
        <f>$H$6*0.35</f>
        <v>6379.6249089999992</v>
      </c>
      <c r="AO6" s="373">
        <f>H6-N6-AN6</f>
        <v>11725.203932716002</v>
      </c>
      <c r="AP6" s="373">
        <f t="shared" ref="AP6:AP28" si="9">H6*10</f>
        <v>182274.99739999999</v>
      </c>
      <c r="AQ6" s="377">
        <f>$H$6*0.35</f>
        <v>6379.6249089999992</v>
      </c>
      <c r="AR6" s="373">
        <f>H6-N6-AQ6</f>
        <v>11725.203932716002</v>
      </c>
      <c r="AS6" s="373">
        <f t="shared" ref="AS6:AS28" si="10">H6*11</f>
        <v>200502.49713999999</v>
      </c>
      <c r="AT6" s="377">
        <f>$H$6*0.35</f>
        <v>6379.6249089999992</v>
      </c>
      <c r="AU6" s="373">
        <f>AR6</f>
        <v>11725.203932716002</v>
      </c>
      <c r="AV6" s="373">
        <f t="shared" ref="AV6:AV28" si="11">H6*12</f>
        <v>218729.99687999999</v>
      </c>
      <c r="AW6" s="377">
        <f>$H$6*0.35</f>
        <v>6379.6249089999992</v>
      </c>
      <c r="AX6" s="373">
        <f>H6-N6-AW6</f>
        <v>11725.203932716002</v>
      </c>
      <c r="AY6" s="371"/>
      <c r="BA6" s="358"/>
    </row>
    <row r="7" spans="1:53" s="233" customFormat="1" ht="30" hidden="1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11924.021305999999</v>
      </c>
      <c r="I7" s="363">
        <v>0.33</v>
      </c>
      <c r="J7" s="362">
        <v>8500</v>
      </c>
      <c r="K7" s="361">
        <f t="shared" ref="K7:K54" si="12">((Q7+T7+W7+Z7+AC7+AF7+AI7+AL7+AO7+AR7+AU7+AX7)/12)+60</f>
        <v>8503.712574947067</v>
      </c>
      <c r="L7" s="390"/>
      <c r="M7" s="390">
        <f t="shared" si="0"/>
        <v>9143.7769623086733</v>
      </c>
      <c r="N7" s="372">
        <f t="shared" ref="N7:N54" si="13">(H7+G7)*0.0066</f>
        <v>81.067940619599995</v>
      </c>
      <c r="O7" s="373">
        <f t="shared" ref="O7:O28" si="14">$H7*O$4</f>
        <v>11924.021305999999</v>
      </c>
      <c r="P7" s="374">
        <f>(O7-10000)*0.2+1500</f>
        <v>1884.8042611999997</v>
      </c>
      <c r="Q7" s="373">
        <f>H7-N7-P7</f>
        <v>9958.1491041804002</v>
      </c>
      <c r="R7" s="373">
        <f t="shared" ref="R7:R28" si="15">$H7*2</f>
        <v>23848.042611999997</v>
      </c>
      <c r="S7" s="374">
        <f>H7*0.2</f>
        <v>2384.8042611999999</v>
      </c>
      <c r="T7" s="373">
        <f>H7-N7-S7</f>
        <v>9458.1491041804002</v>
      </c>
      <c r="U7" s="373">
        <f t="shared" si="1"/>
        <v>35772.063918</v>
      </c>
      <c r="V7" s="376">
        <f>(25000-R7)*0.2+(U7-25000)*0.27</f>
        <v>3138.8487354600006</v>
      </c>
      <c r="W7" s="373">
        <f t="shared" ref="W7:W28" si="16">H7-N7-V7</f>
        <v>8704.104629920399</v>
      </c>
      <c r="X7" s="373">
        <f t="shared" si="2"/>
        <v>47696.085223999995</v>
      </c>
      <c r="Y7" s="376">
        <f t="shared" si="3"/>
        <v>3219.4857526199999</v>
      </c>
      <c r="Z7" s="373">
        <f>H7-N7-Y7</f>
        <v>8623.4676127603998</v>
      </c>
      <c r="AA7" s="373">
        <f t="shared" si="4"/>
        <v>59620.10652999999</v>
      </c>
      <c r="AB7" s="376">
        <f t="shared" ref="AB7:AB24" si="17">H7*0.27</f>
        <v>3219.4857526199999</v>
      </c>
      <c r="AC7" s="373">
        <f t="shared" ref="AC7:AC28" si="18">H7-N7-AB7</f>
        <v>8623.4676127603998</v>
      </c>
      <c r="AD7" s="373">
        <f t="shared" si="5"/>
        <v>71544.127836</v>
      </c>
      <c r="AE7" s="376">
        <f t="shared" ref="AE7:AE14" si="19">H7*0.27</f>
        <v>3219.4857526199999</v>
      </c>
      <c r="AF7" s="373">
        <f t="shared" ref="AF7:AF28" si="20">H7-N7-AE7</f>
        <v>8623.4676127603998</v>
      </c>
      <c r="AG7" s="373">
        <f t="shared" si="6"/>
        <v>83468.149141999995</v>
      </c>
      <c r="AH7" s="376">
        <f>H7*0.27</f>
        <v>3219.4857526199999</v>
      </c>
      <c r="AI7" s="373">
        <f t="shared" ref="AI7:AI28" si="21">H7-N7-AH7</f>
        <v>8623.4676127603998</v>
      </c>
      <c r="AJ7" s="373">
        <f t="shared" si="7"/>
        <v>95392.17044799999</v>
      </c>
      <c r="AK7" s="377">
        <f>(AJ7-88000)*0.35+(88000-AG7)*0.27</f>
        <v>3810.8593884599977</v>
      </c>
      <c r="AL7" s="373">
        <f t="shared" ref="AL7:AL28" si="22">H7-N7-AK7</f>
        <v>8032.0939769204015</v>
      </c>
      <c r="AM7" s="373">
        <f t="shared" si="8"/>
        <v>107316.19175399998</v>
      </c>
      <c r="AN7" s="377">
        <f>H7*0.35</f>
        <v>4173.4074570999992</v>
      </c>
      <c r="AO7" s="373">
        <f t="shared" ref="AO7:AO28" si="23">H7-N7-AN7</f>
        <v>7669.5459082804</v>
      </c>
      <c r="AP7" s="373">
        <f t="shared" si="9"/>
        <v>119240.21305999998</v>
      </c>
      <c r="AQ7" s="377">
        <f t="shared" ref="AQ7:AQ12" si="24">H7*0.35</f>
        <v>4173.4074570999992</v>
      </c>
      <c r="AR7" s="373">
        <f t="shared" ref="AR7:AR28" si="25">H7-N7-AQ7</f>
        <v>7669.5459082804</v>
      </c>
      <c r="AS7" s="373">
        <f t="shared" si="10"/>
        <v>131164.23436599999</v>
      </c>
      <c r="AT7" s="377">
        <f t="shared" ref="AT7:AT22" si="26">H7*0.35</f>
        <v>4173.4074570999992</v>
      </c>
      <c r="AU7" s="373">
        <f>$H$7-$N$7-AT7</f>
        <v>7669.5459082804</v>
      </c>
      <c r="AV7" s="373">
        <f t="shared" si="11"/>
        <v>143088.255672</v>
      </c>
      <c r="AW7" s="377">
        <f t="shared" ref="AW7" si="27">AT7</f>
        <v>4173.4074570999992</v>
      </c>
      <c r="AX7" s="373">
        <f t="shared" ref="AX7:AX28" si="28">H7-N7-AW7</f>
        <v>7669.5459082804</v>
      </c>
      <c r="AY7" s="371"/>
      <c r="BA7" s="358"/>
    </row>
    <row r="8" spans="1:53" s="233" customFormat="1" ht="30" hidden="1" customHeight="1" x14ac:dyDescent="0.45">
      <c r="A8" s="728"/>
      <c r="B8" s="461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29">D8+E8*$H$5*$I8-G8</f>
        <v>9709.2856400000001</v>
      </c>
      <c r="I8" s="363">
        <v>0.2</v>
      </c>
      <c r="J8" s="362">
        <v>7066</v>
      </c>
      <c r="K8" s="361">
        <f t="shared" si="12"/>
        <v>7078.7516474426657</v>
      </c>
      <c r="L8" s="390"/>
      <c r="M8" s="390">
        <f t="shared" si="0"/>
        <v>7611.560911228672</v>
      </c>
      <c r="N8" s="372">
        <f t="shared" si="13"/>
        <v>66.450685223999997</v>
      </c>
      <c r="O8" s="373">
        <f t="shared" si="14"/>
        <v>9709.2856400000001</v>
      </c>
      <c r="P8" s="378">
        <f>H8*0.15</f>
        <v>1456.392846</v>
      </c>
      <c r="Q8" s="373">
        <f>$H$8-$N$8-P8</f>
        <v>8186.4421087760011</v>
      </c>
      <c r="R8" s="373">
        <f t="shared" si="15"/>
        <v>19418.57128</v>
      </c>
      <c r="S8" s="374">
        <f t="shared" ref="S8" si="30">(R8-10000)*0.2+(10000-O8)*0.15</f>
        <v>1927.3214100000002</v>
      </c>
      <c r="T8" s="373">
        <f>$H$8-$N$8-S8</f>
        <v>7715.5135447760003</v>
      </c>
      <c r="U8" s="373">
        <f t="shared" si="1"/>
        <v>29127.856919999998</v>
      </c>
      <c r="V8" s="376">
        <f>(U8-25000)*0.27+(25000-R8)*0.2</f>
        <v>2230.8071123999998</v>
      </c>
      <c r="W8" s="373">
        <f t="shared" si="16"/>
        <v>7412.027842376001</v>
      </c>
      <c r="X8" s="373">
        <f t="shared" si="2"/>
        <v>38837.14256</v>
      </c>
      <c r="Y8" s="376">
        <f t="shared" si="3"/>
        <v>2621.5071228000002</v>
      </c>
      <c r="Z8" s="373">
        <f>$H$8-$N$8-Y8</f>
        <v>7021.3278319760011</v>
      </c>
      <c r="AA8" s="373">
        <f t="shared" si="4"/>
        <v>48546.428200000002</v>
      </c>
      <c r="AB8" s="376">
        <f t="shared" si="17"/>
        <v>2621.5071228000002</v>
      </c>
      <c r="AC8" s="373">
        <f t="shared" si="18"/>
        <v>7021.3278319760011</v>
      </c>
      <c r="AD8" s="373">
        <f t="shared" si="5"/>
        <v>58255.713839999997</v>
      </c>
      <c r="AE8" s="376">
        <f t="shared" si="19"/>
        <v>2621.5071228000002</v>
      </c>
      <c r="AF8" s="373">
        <f t="shared" si="20"/>
        <v>7021.3278319760011</v>
      </c>
      <c r="AG8" s="373">
        <f t="shared" si="6"/>
        <v>67964.999479999999</v>
      </c>
      <c r="AH8" s="376">
        <f>H8*0.27</f>
        <v>2621.5071228000002</v>
      </c>
      <c r="AI8" s="373">
        <f t="shared" si="21"/>
        <v>7021.3278319760011</v>
      </c>
      <c r="AJ8" s="373">
        <f t="shared" si="7"/>
        <v>77674.28512</v>
      </c>
      <c r="AK8" s="376">
        <f>H8*0.27</f>
        <v>2621.5071228000002</v>
      </c>
      <c r="AL8" s="373">
        <f t="shared" si="22"/>
        <v>7021.3278319760011</v>
      </c>
      <c r="AM8" s="373">
        <f t="shared" si="8"/>
        <v>87383.570760000002</v>
      </c>
      <c r="AN8" s="377">
        <f>(AM8-88000)*0.35+(88000-AJ8)*0.27</f>
        <v>2572.1927836000009</v>
      </c>
      <c r="AO8" s="373">
        <f t="shared" si="23"/>
        <v>7070.6421711759995</v>
      </c>
      <c r="AP8" s="373">
        <f t="shared" si="9"/>
        <v>97092.856400000004</v>
      </c>
      <c r="AQ8" s="377">
        <f t="shared" si="24"/>
        <v>3398.2499739999998</v>
      </c>
      <c r="AR8" s="373">
        <f t="shared" si="25"/>
        <v>6244.5849807760005</v>
      </c>
      <c r="AS8" s="373">
        <f t="shared" si="10"/>
        <v>106802.14204000001</v>
      </c>
      <c r="AT8" s="377">
        <f t="shared" si="26"/>
        <v>3398.2499739999998</v>
      </c>
      <c r="AU8" s="373">
        <f>$H$8-$N$8-AT8</f>
        <v>6244.5849807760005</v>
      </c>
      <c r="AV8" s="373">
        <f t="shared" si="11"/>
        <v>116511.42767999999</v>
      </c>
      <c r="AW8" s="377">
        <f t="shared" ref="AW8:AW22" si="31">H8*0.35</f>
        <v>3398.2499739999998</v>
      </c>
      <c r="AX8" s="373">
        <f t="shared" si="28"/>
        <v>6244.5849807760005</v>
      </c>
      <c r="AY8" s="371"/>
      <c r="BA8" s="358"/>
    </row>
    <row r="9" spans="1:53" s="233" customFormat="1" ht="30" hidden="1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32">D9+E9</f>
        <v>19983.72</v>
      </c>
      <c r="G9" s="233">
        <v>359</v>
      </c>
      <c r="H9" s="353">
        <f t="shared" si="29"/>
        <v>14107.781648</v>
      </c>
      <c r="I9" s="363">
        <v>0.63</v>
      </c>
      <c r="J9" s="362">
        <v>9900</v>
      </c>
      <c r="K9" s="361">
        <f t="shared" si="12"/>
        <v>9908.743978989869</v>
      </c>
      <c r="L9" s="390"/>
      <c r="M9" s="390">
        <f t="shared" si="0"/>
        <v>10654.563418268675</v>
      </c>
      <c r="N9" s="372">
        <f t="shared" si="13"/>
        <v>95.480758876799996</v>
      </c>
      <c r="O9" s="373">
        <f t="shared" si="14"/>
        <v>14107.781648</v>
      </c>
      <c r="P9" s="374">
        <f t="shared" ref="P9:P20" si="33">(O9-10000)*0.2+10000*0.15</f>
        <v>2321.5563296</v>
      </c>
      <c r="Q9" s="373">
        <f>H9-P9-N9</f>
        <v>11690.7445595232</v>
      </c>
      <c r="R9" s="373">
        <f t="shared" si="15"/>
        <v>28215.563296</v>
      </c>
      <c r="S9" s="376">
        <f>(R9-25000)*0.27+(25000-O9)*0.2</f>
        <v>3046.6457603200001</v>
      </c>
      <c r="T9" s="373">
        <f>$H$9-$N$9-S9</f>
        <v>10965.655128803201</v>
      </c>
      <c r="U9" s="373">
        <f t="shared" si="1"/>
        <v>42323.344943999997</v>
      </c>
      <c r="V9" s="376">
        <f t="shared" ref="V9:V10" si="34">O9*0.27</f>
        <v>3809.1010449600003</v>
      </c>
      <c r="W9" s="373">
        <f t="shared" si="16"/>
        <v>10203.1998441632</v>
      </c>
      <c r="X9" s="373">
        <f t="shared" si="2"/>
        <v>56431.126592000001</v>
      </c>
      <c r="Y9" s="376">
        <f t="shared" si="3"/>
        <v>3809.1010449600003</v>
      </c>
      <c r="Z9" s="373">
        <f>$H$9-$N$9-Y9</f>
        <v>10203.1998441632</v>
      </c>
      <c r="AA9" s="373">
        <f t="shared" si="4"/>
        <v>70538.908240000004</v>
      </c>
      <c r="AB9" s="376">
        <f t="shared" si="17"/>
        <v>3809.1010449600003</v>
      </c>
      <c r="AC9" s="373">
        <f t="shared" si="18"/>
        <v>10203.1998441632</v>
      </c>
      <c r="AD9" s="373">
        <f t="shared" si="5"/>
        <v>84646.689887999994</v>
      </c>
      <c r="AE9" s="376">
        <f t="shared" si="19"/>
        <v>3809.1010449600003</v>
      </c>
      <c r="AF9" s="373">
        <f t="shared" si="20"/>
        <v>10203.1998441632</v>
      </c>
      <c r="AG9" s="373">
        <f t="shared" si="6"/>
        <v>98754.471535999997</v>
      </c>
      <c r="AH9" s="377">
        <f>(AG9-88000)*0.35+(88000-AD9)*0.27</f>
        <v>4669.4587678400003</v>
      </c>
      <c r="AI9" s="373">
        <f t="shared" si="21"/>
        <v>9342.8421212832</v>
      </c>
      <c r="AJ9" s="373">
        <f t="shared" si="7"/>
        <v>112862.253184</v>
      </c>
      <c r="AK9" s="377">
        <f>H9*0.35</f>
        <v>4937.7235768</v>
      </c>
      <c r="AL9" s="373">
        <f t="shared" si="22"/>
        <v>9074.5773123231993</v>
      </c>
      <c r="AM9" s="373">
        <f t="shared" si="8"/>
        <v>126970.034832</v>
      </c>
      <c r="AN9" s="377">
        <f>H9*0.35</f>
        <v>4937.7235768</v>
      </c>
      <c r="AO9" s="373">
        <f t="shared" si="23"/>
        <v>9074.5773123231993</v>
      </c>
      <c r="AP9" s="373">
        <f t="shared" si="9"/>
        <v>141077.81648000001</v>
      </c>
      <c r="AQ9" s="377">
        <f t="shared" si="24"/>
        <v>4937.7235768</v>
      </c>
      <c r="AR9" s="373">
        <f t="shared" si="25"/>
        <v>9074.5773123231993</v>
      </c>
      <c r="AS9" s="373">
        <f t="shared" si="10"/>
        <v>155185.59812800001</v>
      </c>
      <c r="AT9" s="377">
        <f t="shared" si="26"/>
        <v>4937.7235768</v>
      </c>
      <c r="AU9" s="373">
        <f>$H$9-$N$9-AT9</f>
        <v>9074.5773123231993</v>
      </c>
      <c r="AV9" s="373">
        <f t="shared" si="11"/>
        <v>169293.37977599999</v>
      </c>
      <c r="AW9" s="377">
        <f t="shared" si="31"/>
        <v>4937.7235768</v>
      </c>
      <c r="AX9" s="373">
        <f t="shared" si="28"/>
        <v>9074.5773123231993</v>
      </c>
      <c r="AY9" s="371"/>
      <c r="BA9" s="358"/>
    </row>
    <row r="10" spans="1:53" s="233" customFormat="1" ht="30" hidden="1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32"/>
        <v>19983.72</v>
      </c>
      <c r="G10" s="233">
        <v>359</v>
      </c>
      <c r="H10" s="353">
        <f t="shared" si="29"/>
        <v>12497.0648</v>
      </c>
      <c r="I10" s="463">
        <v>0.5</v>
      </c>
      <c r="J10" s="362">
        <v>8900</v>
      </c>
      <c r="K10" s="361">
        <f t="shared" si="12"/>
        <v>8872.3745149866663</v>
      </c>
      <c r="L10" s="390"/>
      <c r="M10" s="390">
        <f t="shared" si="0"/>
        <v>9540.1876505232958</v>
      </c>
      <c r="N10" s="372">
        <f t="shared" si="13"/>
        <v>84.850027679999997</v>
      </c>
      <c r="O10" s="373">
        <f t="shared" si="14"/>
        <v>12497.0648</v>
      </c>
      <c r="P10" s="374">
        <f t="shared" si="33"/>
        <v>1999.4129600000001</v>
      </c>
      <c r="Q10" s="373">
        <f>$H$10-$N$10-P10</f>
        <v>10412.80181232</v>
      </c>
      <c r="R10" s="373">
        <f t="shared" si="15"/>
        <v>24994.1296</v>
      </c>
      <c r="S10" s="376">
        <f>H10*0.2</f>
        <v>2499.4129600000001</v>
      </c>
      <c r="T10" s="373">
        <f>$H$10-$N$10-S10</f>
        <v>9912.80181232</v>
      </c>
      <c r="U10" s="373">
        <f t="shared" si="1"/>
        <v>37491.1944</v>
      </c>
      <c r="V10" s="376">
        <f t="shared" si="34"/>
        <v>3374.2074960000004</v>
      </c>
      <c r="W10" s="373">
        <f t="shared" si="16"/>
        <v>9038.0072763199987</v>
      </c>
      <c r="X10" s="373">
        <f t="shared" si="2"/>
        <v>49988.2592</v>
      </c>
      <c r="Y10" s="376">
        <f t="shared" si="3"/>
        <v>3374.2074960000004</v>
      </c>
      <c r="Z10" s="373">
        <f>$H$10-$N$10-Y10</f>
        <v>9038.0072763199987</v>
      </c>
      <c r="AA10" s="373">
        <f t="shared" si="4"/>
        <v>62485.324000000001</v>
      </c>
      <c r="AB10" s="376">
        <f t="shared" si="17"/>
        <v>3374.2074960000004</v>
      </c>
      <c r="AC10" s="373">
        <f t="shared" si="18"/>
        <v>9038.0072763199987</v>
      </c>
      <c r="AD10" s="373">
        <f t="shared" si="5"/>
        <v>74982.388800000001</v>
      </c>
      <c r="AE10" s="376">
        <f t="shared" si="19"/>
        <v>3374.2074960000004</v>
      </c>
      <c r="AF10" s="373">
        <f t="shared" si="20"/>
        <v>9038.0072763199987</v>
      </c>
      <c r="AG10" s="373">
        <f t="shared" si="6"/>
        <v>87479.453600000008</v>
      </c>
      <c r="AH10" s="376">
        <f>H10*0.27</f>
        <v>3374.2074960000004</v>
      </c>
      <c r="AI10" s="373">
        <f t="shared" si="21"/>
        <v>9038.0072763199987</v>
      </c>
      <c r="AJ10" s="373">
        <f t="shared" si="7"/>
        <v>99976.518400000001</v>
      </c>
      <c r="AK10" s="377">
        <f>(AJ10-88000)*0.35+(88000-AG10)*0.27</f>
        <v>4332.328967999998</v>
      </c>
      <c r="AL10" s="373">
        <f t="shared" si="22"/>
        <v>8079.8858043200016</v>
      </c>
      <c r="AM10" s="373">
        <f t="shared" si="8"/>
        <v>112473.58319999999</v>
      </c>
      <c r="AN10" s="377">
        <f>H10*0.35</f>
        <v>4373.9726799999999</v>
      </c>
      <c r="AO10" s="373">
        <f t="shared" si="23"/>
        <v>8038.2420923199998</v>
      </c>
      <c r="AP10" s="373">
        <f t="shared" si="9"/>
        <v>124970.648</v>
      </c>
      <c r="AQ10" s="377">
        <f t="shared" si="24"/>
        <v>4373.9726799999999</v>
      </c>
      <c r="AR10" s="373">
        <f t="shared" si="25"/>
        <v>8038.2420923199998</v>
      </c>
      <c r="AS10" s="373">
        <f t="shared" si="10"/>
        <v>137467.71280000001</v>
      </c>
      <c r="AT10" s="377">
        <f t="shared" si="26"/>
        <v>4373.9726799999999</v>
      </c>
      <c r="AU10" s="373">
        <f>$H$10-$N$10-AT10</f>
        <v>8038.2420923199998</v>
      </c>
      <c r="AV10" s="373">
        <f t="shared" si="11"/>
        <v>149964.7776</v>
      </c>
      <c r="AW10" s="377">
        <f t="shared" si="31"/>
        <v>4373.9726799999999</v>
      </c>
      <c r="AX10" s="373">
        <f t="shared" si="28"/>
        <v>8038.2420923199998</v>
      </c>
      <c r="AY10" s="371"/>
      <c r="BA10" s="358"/>
    </row>
    <row r="11" spans="1:53" s="233" customFormat="1" ht="30" hidden="1" customHeight="1" x14ac:dyDescent="0.45">
      <c r="A11" s="728"/>
      <c r="B11" s="461" t="s">
        <v>234</v>
      </c>
      <c r="C11" s="231">
        <v>300</v>
      </c>
      <c r="D11" s="238">
        <v>6661</v>
      </c>
      <c r="E11" s="234">
        <v>9992.0399999999991</v>
      </c>
      <c r="F11" s="234">
        <f t="shared" si="32"/>
        <v>16653.04</v>
      </c>
      <c r="G11" s="233">
        <v>359</v>
      </c>
      <c r="H11" s="353">
        <f t="shared" si="29"/>
        <v>10204.890824</v>
      </c>
      <c r="I11" s="463">
        <v>0.42</v>
      </c>
      <c r="J11" s="362">
        <v>7400</v>
      </c>
      <c r="K11" s="361">
        <f t="shared" si="12"/>
        <v>7397.624022828265</v>
      </c>
      <c r="L11" s="390"/>
      <c r="M11" s="390">
        <f t="shared" si="0"/>
        <v>7954.4344331486718</v>
      </c>
      <c r="N11" s="372">
        <f t="shared" si="13"/>
        <v>69.721679438400002</v>
      </c>
      <c r="O11" s="373">
        <f t="shared" si="14"/>
        <v>10204.890824</v>
      </c>
      <c r="P11" s="374">
        <f t="shared" si="33"/>
        <v>1540.9781648000001</v>
      </c>
      <c r="Q11" s="373">
        <f>$H$11-$N$11-P11</f>
        <v>8594.190979761599</v>
      </c>
      <c r="R11" s="373">
        <f t="shared" si="15"/>
        <v>20409.781648</v>
      </c>
      <c r="S11" s="374">
        <f>H11*0.2</f>
        <v>2040.9781648000001</v>
      </c>
      <c r="T11" s="373">
        <f>$H$11-$N$11-S11</f>
        <v>8094.1909797615999</v>
      </c>
      <c r="U11" s="373">
        <f t="shared" si="1"/>
        <v>30614.672471999998</v>
      </c>
      <c r="V11" s="376">
        <f>(U11-25000)*0.27+(25000-R11)*0.2</f>
        <v>2434.0052378399996</v>
      </c>
      <c r="W11" s="373">
        <f t="shared" si="16"/>
        <v>7701.1639067216001</v>
      </c>
      <c r="X11" s="373">
        <f t="shared" si="2"/>
        <v>40819.563296</v>
      </c>
      <c r="Y11" s="376">
        <f t="shared" si="3"/>
        <v>2755.3205224800004</v>
      </c>
      <c r="Z11" s="373">
        <f>$H$11-$N$11-Y11</f>
        <v>7379.8486220815994</v>
      </c>
      <c r="AA11" s="373">
        <f t="shared" si="4"/>
        <v>51024.454120000002</v>
      </c>
      <c r="AB11" s="376">
        <f t="shared" si="17"/>
        <v>2755.3205224800004</v>
      </c>
      <c r="AC11" s="373">
        <f t="shared" si="18"/>
        <v>7379.8486220815994</v>
      </c>
      <c r="AD11" s="373">
        <f t="shared" si="5"/>
        <v>61229.344943999997</v>
      </c>
      <c r="AE11" s="376">
        <f t="shared" si="19"/>
        <v>2755.3205224800004</v>
      </c>
      <c r="AF11" s="373">
        <f t="shared" si="20"/>
        <v>7379.8486220815994</v>
      </c>
      <c r="AG11" s="373">
        <f t="shared" si="6"/>
        <v>71434.235767999999</v>
      </c>
      <c r="AH11" s="376">
        <f>H11*0.27</f>
        <v>2755.3205224800004</v>
      </c>
      <c r="AI11" s="373">
        <f t="shared" si="21"/>
        <v>7379.8486220815994</v>
      </c>
      <c r="AJ11" s="373">
        <f t="shared" si="7"/>
        <v>81639.126592000001</v>
      </c>
      <c r="AK11" s="376">
        <f>H11*0.27</f>
        <v>2755.3205224800004</v>
      </c>
      <c r="AL11" s="373">
        <f t="shared" si="22"/>
        <v>7379.8486220815994</v>
      </c>
      <c r="AM11" s="373">
        <f t="shared" si="8"/>
        <v>91844.017416000002</v>
      </c>
      <c r="AN11" s="377">
        <f>(AM11-88000)*0.35+(88000-AJ11)*0.27</f>
        <v>3062.841915760001</v>
      </c>
      <c r="AO11" s="373">
        <f t="shared" si="23"/>
        <v>7072.3272288015987</v>
      </c>
      <c r="AP11" s="373">
        <f t="shared" si="9"/>
        <v>102048.90824</v>
      </c>
      <c r="AQ11" s="377">
        <f t="shared" si="24"/>
        <v>3571.7117883999999</v>
      </c>
      <c r="AR11" s="373">
        <f t="shared" si="25"/>
        <v>6563.4573561615998</v>
      </c>
      <c r="AS11" s="373">
        <f t="shared" si="10"/>
        <v>112253.79906400001</v>
      </c>
      <c r="AT11" s="377">
        <f t="shared" si="26"/>
        <v>3571.7117883999999</v>
      </c>
      <c r="AU11" s="373">
        <f>$H$11-$N$11-AT11</f>
        <v>6563.4573561615998</v>
      </c>
      <c r="AV11" s="373">
        <f t="shared" si="11"/>
        <v>122458.68988799999</v>
      </c>
      <c r="AW11" s="377">
        <f t="shared" si="31"/>
        <v>3571.7117883999999</v>
      </c>
      <c r="AX11" s="373">
        <f t="shared" si="28"/>
        <v>6563.4573561615998</v>
      </c>
      <c r="AY11" s="371"/>
      <c r="BA11" s="358"/>
    </row>
    <row r="12" spans="1:53" s="380" customFormat="1" ht="30" hidden="1" customHeight="1" x14ac:dyDescent="0.45">
      <c r="A12" s="728"/>
      <c r="B12" s="461" t="s">
        <v>236</v>
      </c>
      <c r="C12" s="231">
        <v>300</v>
      </c>
      <c r="D12" s="238">
        <v>6661</v>
      </c>
      <c r="E12" s="234">
        <v>9992.0399999999991</v>
      </c>
      <c r="F12" s="234">
        <f t="shared" si="32"/>
        <v>16653.04</v>
      </c>
      <c r="G12" s="233">
        <v>359</v>
      </c>
      <c r="H12" s="353">
        <f t="shared" si="29"/>
        <v>9926.1129079999992</v>
      </c>
      <c r="I12" s="463">
        <v>0.39</v>
      </c>
      <c r="J12" s="362">
        <v>7200</v>
      </c>
      <c r="K12" s="361">
        <f t="shared" si="12"/>
        <v>7218.2583116738651</v>
      </c>
      <c r="L12" s="390"/>
      <c r="M12" s="390">
        <f t="shared" si="0"/>
        <v>7761.5680770686722</v>
      </c>
      <c r="N12" s="372">
        <f t="shared" si="13"/>
        <v>67.881745192799997</v>
      </c>
      <c r="O12" s="373">
        <f t="shared" si="14"/>
        <v>9926.1129079999992</v>
      </c>
      <c r="P12" s="378">
        <f>(O12*0.15)</f>
        <v>1488.9169361999998</v>
      </c>
      <c r="Q12" s="373">
        <f>$H$12-$N$12-P12</f>
        <v>8369.3142266071991</v>
      </c>
      <c r="R12" s="373">
        <f t="shared" si="15"/>
        <v>19852.225815999998</v>
      </c>
      <c r="S12" s="374">
        <f>(R12-10000)*0.2+(10000-O12)*0.15</f>
        <v>1981.528227</v>
      </c>
      <c r="T12" s="373">
        <f>$H$12-$N$12-S12</f>
        <v>7876.7029358071986</v>
      </c>
      <c r="U12" s="373">
        <f t="shared" si="1"/>
        <v>29778.338723999997</v>
      </c>
      <c r="V12" s="382">
        <f>(U12-25000)*0.27+(25000-R12)*0.2</f>
        <v>2319.7062922799996</v>
      </c>
      <c r="W12" s="373">
        <f t="shared" si="16"/>
        <v>7538.5248705271988</v>
      </c>
      <c r="X12" s="373">
        <f t="shared" si="2"/>
        <v>39704.451631999997</v>
      </c>
      <c r="Y12" s="382">
        <f t="shared" si="3"/>
        <v>2680.0504851599999</v>
      </c>
      <c r="Z12" s="373">
        <f>$H$12-$N$12-Y12</f>
        <v>7178.1806776471985</v>
      </c>
      <c r="AA12" s="373">
        <f t="shared" si="4"/>
        <v>49630.564539999992</v>
      </c>
      <c r="AB12" s="382">
        <f t="shared" si="17"/>
        <v>2680.0504851599999</v>
      </c>
      <c r="AC12" s="373">
        <f t="shared" si="18"/>
        <v>7178.1806776471985</v>
      </c>
      <c r="AD12" s="373">
        <f t="shared" si="5"/>
        <v>59556.677447999995</v>
      </c>
      <c r="AE12" s="382">
        <f t="shared" si="19"/>
        <v>2680.0504851599999</v>
      </c>
      <c r="AF12" s="373">
        <f t="shared" si="20"/>
        <v>7178.1806776471985</v>
      </c>
      <c r="AG12" s="373">
        <f t="shared" si="6"/>
        <v>69482.790355999998</v>
      </c>
      <c r="AH12" s="382">
        <f>H12*0.27</f>
        <v>2680.0504851599999</v>
      </c>
      <c r="AI12" s="373">
        <f t="shared" si="21"/>
        <v>7178.1806776471985</v>
      </c>
      <c r="AJ12" s="373">
        <f t="shared" si="7"/>
        <v>79408.903263999993</v>
      </c>
      <c r="AK12" s="376">
        <f>H12*0.27</f>
        <v>2680.0504851599999</v>
      </c>
      <c r="AL12" s="373">
        <f t="shared" si="22"/>
        <v>7178.1806776471985</v>
      </c>
      <c r="AM12" s="373">
        <f t="shared" si="8"/>
        <v>89335.016171999989</v>
      </c>
      <c r="AN12" s="377">
        <f>(AM12-88000)*0.35+(88000-AJ12)*0.27</f>
        <v>2786.8517789199977</v>
      </c>
      <c r="AO12" s="373">
        <f t="shared" si="23"/>
        <v>7071.3793838872007</v>
      </c>
      <c r="AP12" s="373">
        <f t="shared" si="9"/>
        <v>99261.129079999984</v>
      </c>
      <c r="AQ12" s="383">
        <f t="shared" si="24"/>
        <v>3474.1395177999993</v>
      </c>
      <c r="AR12" s="373">
        <f t="shared" si="25"/>
        <v>6384.0916450071991</v>
      </c>
      <c r="AS12" s="373">
        <f t="shared" si="10"/>
        <v>109187.24198799999</v>
      </c>
      <c r="AT12" s="383">
        <f t="shared" si="26"/>
        <v>3474.1395177999993</v>
      </c>
      <c r="AU12" s="373">
        <f>$H$12-$N$12-AT12</f>
        <v>6384.0916450071991</v>
      </c>
      <c r="AV12" s="373">
        <f t="shared" si="11"/>
        <v>119113.35489599999</v>
      </c>
      <c r="AW12" s="383">
        <f t="shared" si="31"/>
        <v>3474.1395177999993</v>
      </c>
      <c r="AX12" s="373">
        <f t="shared" si="28"/>
        <v>6384.0916450071991</v>
      </c>
      <c r="AY12" s="384"/>
      <c r="BA12" s="358"/>
    </row>
    <row r="13" spans="1:53" s="233" customFormat="1" ht="30" hidden="1" customHeight="1" x14ac:dyDescent="0.45">
      <c r="A13" s="728"/>
      <c r="B13" s="461" t="s">
        <v>235</v>
      </c>
      <c r="C13" s="231">
        <v>300</v>
      </c>
      <c r="D13" s="238">
        <v>6661</v>
      </c>
      <c r="E13" s="234">
        <v>9992.0399999999991</v>
      </c>
      <c r="F13" s="234">
        <f t="shared" si="32"/>
        <v>16653.04</v>
      </c>
      <c r="G13" s="233">
        <v>359</v>
      </c>
      <c r="H13" s="353">
        <f t="shared" si="29"/>
        <v>9275.6311040000001</v>
      </c>
      <c r="I13" s="463">
        <v>0.32</v>
      </c>
      <c r="J13" s="362">
        <v>6800</v>
      </c>
      <c r="K13" s="361">
        <f t="shared" si="12"/>
        <v>6799.7383189802667</v>
      </c>
      <c r="L13" s="390"/>
      <c r="M13" s="390">
        <f t="shared" si="0"/>
        <v>7311.5465795486734</v>
      </c>
      <c r="N13" s="372">
        <f t="shared" si="13"/>
        <v>63.588565286399998</v>
      </c>
      <c r="O13" s="373">
        <f t="shared" si="14"/>
        <v>9275.6311040000001</v>
      </c>
      <c r="P13" s="378">
        <f>(O13*0.15)</f>
        <v>1391.3446655999999</v>
      </c>
      <c r="Q13" s="373">
        <f>$H$13-$N$13-P13</f>
        <v>7820.6978731136005</v>
      </c>
      <c r="R13" s="373">
        <f t="shared" si="15"/>
        <v>18551.262208</v>
      </c>
      <c r="S13" s="374">
        <f>(R13-10000)*0.2+(10000-O13)*0.15</f>
        <v>1818.907776</v>
      </c>
      <c r="T13" s="373">
        <f>$H$13-$N$13-S13</f>
        <v>7393.1347627136001</v>
      </c>
      <c r="U13" s="373">
        <f t="shared" si="1"/>
        <v>27826.893312</v>
      </c>
      <c r="V13" s="376">
        <f>(U13-25000)*0.27+(25000-R13)*0.2</f>
        <v>2053.0087526400002</v>
      </c>
      <c r="W13" s="373">
        <f t="shared" si="16"/>
        <v>7159.0337860735999</v>
      </c>
      <c r="X13" s="373">
        <f t="shared" si="2"/>
        <v>37102.524416</v>
      </c>
      <c r="Y13" s="376">
        <f t="shared" si="3"/>
        <v>2504.4203980800003</v>
      </c>
      <c r="Z13" s="373">
        <f>$H$13-$N$13-Y13</f>
        <v>6707.6221406335999</v>
      </c>
      <c r="AA13" s="373">
        <f t="shared" si="4"/>
        <v>46378.15552</v>
      </c>
      <c r="AB13" s="376">
        <f t="shared" si="17"/>
        <v>2504.4203980800003</v>
      </c>
      <c r="AC13" s="373">
        <f t="shared" si="18"/>
        <v>6707.6221406335999</v>
      </c>
      <c r="AD13" s="373">
        <f t="shared" si="5"/>
        <v>55653.786624</v>
      </c>
      <c r="AE13" s="376">
        <f t="shared" si="19"/>
        <v>2504.4203980800003</v>
      </c>
      <c r="AF13" s="373">
        <f t="shared" si="20"/>
        <v>6707.6221406335999</v>
      </c>
      <c r="AG13" s="373">
        <f t="shared" si="6"/>
        <v>64929.417728</v>
      </c>
      <c r="AH13" s="376">
        <f>H13*0.27</f>
        <v>2504.4203980800003</v>
      </c>
      <c r="AI13" s="373">
        <f t="shared" si="21"/>
        <v>6707.6221406335999</v>
      </c>
      <c r="AJ13" s="373">
        <f t="shared" si="7"/>
        <v>74205.048832</v>
      </c>
      <c r="AK13" s="376">
        <f>H13*0.27</f>
        <v>2504.4203980800003</v>
      </c>
      <c r="AL13" s="373">
        <f t="shared" si="22"/>
        <v>6707.6221406335999</v>
      </c>
      <c r="AM13" s="373">
        <f t="shared" si="8"/>
        <v>83480.679936</v>
      </c>
      <c r="AN13" s="376">
        <f>H13*0.27</f>
        <v>2504.4203980800003</v>
      </c>
      <c r="AO13" s="373">
        <f t="shared" si="23"/>
        <v>6707.6221406335999</v>
      </c>
      <c r="AP13" s="373">
        <f t="shared" si="9"/>
        <v>92756.311040000001</v>
      </c>
      <c r="AQ13" s="377">
        <f>(AP13-88000)*0.35+(88000-AM13)*0.27</f>
        <v>2884.92528128</v>
      </c>
      <c r="AR13" s="373">
        <f t="shared" si="25"/>
        <v>6327.1172574335997</v>
      </c>
      <c r="AS13" s="373">
        <f t="shared" si="10"/>
        <v>102031.942144</v>
      </c>
      <c r="AT13" s="377">
        <f t="shared" si="26"/>
        <v>3246.4708863999999</v>
      </c>
      <c r="AU13" s="373">
        <f>$H$13-$N$13-AT13</f>
        <v>5965.5716523135998</v>
      </c>
      <c r="AV13" s="373">
        <f t="shared" si="11"/>
        <v>111307.573248</v>
      </c>
      <c r="AW13" s="377">
        <f t="shared" si="31"/>
        <v>3246.4708863999999</v>
      </c>
      <c r="AX13" s="373">
        <f t="shared" si="28"/>
        <v>5965.5716523135998</v>
      </c>
      <c r="AY13" s="371"/>
      <c r="BA13" s="358"/>
    </row>
    <row r="14" spans="1:53" s="233" customFormat="1" ht="30" hidden="1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32"/>
        <v>16653.04</v>
      </c>
      <c r="G14" s="233">
        <v>359</v>
      </c>
      <c r="H14" s="353">
        <f t="shared" si="29"/>
        <v>8346.371384</v>
      </c>
      <c r="I14" s="463">
        <v>0.22</v>
      </c>
      <c r="J14" s="362">
        <v>6200</v>
      </c>
      <c r="K14" s="361">
        <f t="shared" si="12"/>
        <v>6201.8526151322667</v>
      </c>
      <c r="L14" s="390"/>
      <c r="M14" s="390">
        <f t="shared" si="0"/>
        <v>6668.6587259486732</v>
      </c>
      <c r="N14" s="372">
        <f t="shared" si="13"/>
        <v>57.455451134400001</v>
      </c>
      <c r="O14" s="373">
        <f t="shared" si="14"/>
        <v>8346.371384</v>
      </c>
      <c r="P14" s="378">
        <f>(O14*0.15)</f>
        <v>1251.9557075999999</v>
      </c>
      <c r="Q14" s="373">
        <f>$H$14-$N$14-P14</f>
        <v>7036.9602252656005</v>
      </c>
      <c r="R14" s="373">
        <f t="shared" si="15"/>
        <v>16692.742768</v>
      </c>
      <c r="S14" s="374">
        <f>(R14-10000)*0.2+(10000-O14)*0.15</f>
        <v>1586.592846</v>
      </c>
      <c r="T14" s="373">
        <f>$H$14-$N$14-S14</f>
        <v>6702.323086865601</v>
      </c>
      <c r="U14" s="373">
        <f t="shared" si="1"/>
        <v>25039.114152000002</v>
      </c>
      <c r="V14" s="376">
        <f>(U14-25000)*0.27+(25000-R14)*0.2</f>
        <v>1672.0122674400006</v>
      </c>
      <c r="W14" s="373">
        <f t="shared" si="16"/>
        <v>6616.9036654255997</v>
      </c>
      <c r="X14" s="373">
        <f t="shared" si="2"/>
        <v>33385.485536</v>
      </c>
      <c r="Y14" s="376">
        <f t="shared" si="3"/>
        <v>2253.5202736800002</v>
      </c>
      <c r="Z14" s="373">
        <f>$H$14-$N$14-Y14</f>
        <v>6035.3956591856004</v>
      </c>
      <c r="AA14" s="373">
        <f t="shared" si="4"/>
        <v>41731.856919999998</v>
      </c>
      <c r="AB14" s="376">
        <f t="shared" si="17"/>
        <v>2253.5202736800002</v>
      </c>
      <c r="AC14" s="373">
        <f t="shared" si="18"/>
        <v>6035.3956591856004</v>
      </c>
      <c r="AD14" s="373">
        <f t="shared" si="5"/>
        <v>50078.228304000004</v>
      </c>
      <c r="AE14" s="376">
        <f t="shared" si="19"/>
        <v>2253.5202736800002</v>
      </c>
      <c r="AF14" s="373">
        <f t="shared" si="20"/>
        <v>6035.3956591856004</v>
      </c>
      <c r="AG14" s="373">
        <f t="shared" si="6"/>
        <v>58424.599688000002</v>
      </c>
      <c r="AH14" s="376">
        <f>H14*0.27</f>
        <v>2253.5202736800002</v>
      </c>
      <c r="AI14" s="373">
        <f t="shared" si="21"/>
        <v>6035.3956591856004</v>
      </c>
      <c r="AJ14" s="373">
        <f t="shared" si="7"/>
        <v>66770.971072</v>
      </c>
      <c r="AK14" s="376">
        <f>H14*0.27</f>
        <v>2253.5202736800002</v>
      </c>
      <c r="AL14" s="373">
        <f t="shared" si="22"/>
        <v>6035.3956591856004</v>
      </c>
      <c r="AM14" s="373">
        <f t="shared" si="8"/>
        <v>75117.342455999998</v>
      </c>
      <c r="AN14" s="376">
        <f>H14*0.27</f>
        <v>2253.5202736800002</v>
      </c>
      <c r="AO14" s="373">
        <f t="shared" si="23"/>
        <v>6035.3956591856004</v>
      </c>
      <c r="AP14" s="373">
        <f t="shared" si="9"/>
        <v>83463.713839999997</v>
      </c>
      <c r="AQ14" s="376">
        <f>H14*0.27</f>
        <v>2253.5202736800002</v>
      </c>
      <c r="AR14" s="373">
        <f t="shared" si="25"/>
        <v>6035.3956591856004</v>
      </c>
      <c r="AS14" s="373">
        <f t="shared" si="10"/>
        <v>91810.085223999995</v>
      </c>
      <c r="AT14" s="377">
        <f>(AS14-88000)*0.35+(88000-AP14)*0.27</f>
        <v>2558.3270915999992</v>
      </c>
      <c r="AU14" s="373">
        <f>$H$14-$N$14-AT14</f>
        <v>5730.5888412656013</v>
      </c>
      <c r="AV14" s="373">
        <f t="shared" si="11"/>
        <v>100156.45660800001</v>
      </c>
      <c r="AW14" s="377">
        <f t="shared" si="31"/>
        <v>2921.2299843999999</v>
      </c>
      <c r="AX14" s="373">
        <f t="shared" si="28"/>
        <v>5367.6859484656006</v>
      </c>
      <c r="AY14" s="371"/>
      <c r="BA14" s="358"/>
    </row>
    <row r="15" spans="1:53" s="233" customFormat="1" ht="30" hidden="1" customHeight="1" x14ac:dyDescent="0.45">
      <c r="A15" s="730" t="s">
        <v>15</v>
      </c>
      <c r="B15" s="461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32"/>
        <v>24980.1</v>
      </c>
      <c r="G15" s="233">
        <v>359</v>
      </c>
      <c r="H15" s="353">
        <f t="shared" si="29"/>
        <v>17089.100247999999</v>
      </c>
      <c r="I15" s="463">
        <v>0.67</v>
      </c>
      <c r="J15" s="362">
        <v>11900</v>
      </c>
      <c r="K15" s="361">
        <f t="shared" si="12"/>
        <v>11826.924366229863</v>
      </c>
      <c r="L15" s="390"/>
      <c r="M15" s="390">
        <f t="shared" si="0"/>
        <v>12717.122974440712</v>
      </c>
      <c r="N15" s="372">
        <f t="shared" si="13"/>
        <v>115.15746163679999</v>
      </c>
      <c r="O15" s="373">
        <f t="shared" si="14"/>
        <v>17089.100247999999</v>
      </c>
      <c r="P15" s="374">
        <f t="shared" si="33"/>
        <v>2917.8200495999999</v>
      </c>
      <c r="Q15" s="373">
        <f>$H$15-$N$15-P15</f>
        <v>14056.122736763198</v>
      </c>
      <c r="R15" s="373">
        <f t="shared" si="15"/>
        <v>34178.200495999998</v>
      </c>
      <c r="S15" s="376">
        <f>(R15-25000)*0.27+(25000-O15)*0.2</f>
        <v>4060.2940843199995</v>
      </c>
      <c r="T15" s="373">
        <f>$H$15-$N$15-S15</f>
        <v>12913.648702043198</v>
      </c>
      <c r="U15" s="373">
        <f t="shared" si="1"/>
        <v>51267.300743999993</v>
      </c>
      <c r="V15" s="376">
        <f>H15*0.27</f>
        <v>4614.0570669600002</v>
      </c>
      <c r="W15" s="373">
        <f t="shared" si="16"/>
        <v>12359.885719403197</v>
      </c>
      <c r="X15" s="373">
        <f t="shared" si="2"/>
        <v>68356.400991999995</v>
      </c>
      <c r="Y15" s="376">
        <f t="shared" si="3"/>
        <v>4614.0570669600002</v>
      </c>
      <c r="Z15" s="373">
        <f>$H$15-$N$15-Y15</f>
        <v>12359.885719403197</v>
      </c>
      <c r="AA15" s="373">
        <f t="shared" si="4"/>
        <v>85445.501239999998</v>
      </c>
      <c r="AB15" s="376">
        <f t="shared" si="17"/>
        <v>4614.0570669600002</v>
      </c>
      <c r="AC15" s="373">
        <f t="shared" si="18"/>
        <v>12359.885719403197</v>
      </c>
      <c r="AD15" s="373">
        <f t="shared" si="5"/>
        <v>102534.60148799999</v>
      </c>
      <c r="AE15" s="377">
        <f>(AD15-88000)*0.35+(88000-AA15)*0.27</f>
        <v>5776.8251859999955</v>
      </c>
      <c r="AF15" s="373">
        <f t="shared" si="20"/>
        <v>11197.117600363203</v>
      </c>
      <c r="AG15" s="373">
        <f t="shared" si="6"/>
        <v>119623.70173599999</v>
      </c>
      <c r="AH15" s="377">
        <f>H15*0.35</f>
        <v>5981.1850867999992</v>
      </c>
      <c r="AI15" s="373">
        <f t="shared" si="21"/>
        <v>10992.757699563197</v>
      </c>
      <c r="AJ15" s="373">
        <f t="shared" si="7"/>
        <v>136712.80198399999</v>
      </c>
      <c r="AK15" s="377">
        <f>H15*0.35</f>
        <v>5981.1850867999992</v>
      </c>
      <c r="AL15" s="373">
        <f t="shared" si="22"/>
        <v>10992.757699563197</v>
      </c>
      <c r="AM15" s="373">
        <f t="shared" si="8"/>
        <v>153801.90223199999</v>
      </c>
      <c r="AN15" s="377">
        <f>H15*0.35</f>
        <v>5981.1850867999992</v>
      </c>
      <c r="AO15" s="373">
        <f t="shared" si="23"/>
        <v>10992.757699563197</v>
      </c>
      <c r="AP15" s="373">
        <f t="shared" si="9"/>
        <v>170891.00248</v>
      </c>
      <c r="AQ15" s="377">
        <f>H15*0.35</f>
        <v>5981.1850867999992</v>
      </c>
      <c r="AR15" s="373">
        <f t="shared" si="25"/>
        <v>10992.757699563197</v>
      </c>
      <c r="AS15" s="373">
        <f t="shared" si="10"/>
        <v>187980.102728</v>
      </c>
      <c r="AT15" s="377">
        <f t="shared" si="26"/>
        <v>5981.1850867999992</v>
      </c>
      <c r="AU15" s="373">
        <f>$H$15-$N$15-AT15</f>
        <v>10992.757699563197</v>
      </c>
      <c r="AV15" s="373">
        <f t="shared" si="11"/>
        <v>205069.20297599997</v>
      </c>
      <c r="AW15" s="377">
        <f t="shared" si="31"/>
        <v>5981.1850867999992</v>
      </c>
      <c r="AX15" s="373">
        <f t="shared" si="28"/>
        <v>10992.757699563197</v>
      </c>
      <c r="AY15" s="371"/>
      <c r="BA15" s="358"/>
    </row>
    <row r="16" spans="1:53" s="233" customFormat="1" ht="30" hidden="1" customHeight="1" x14ac:dyDescent="0.45">
      <c r="A16" s="730"/>
      <c r="B16" s="461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32"/>
        <v>24980.1</v>
      </c>
      <c r="G16" s="233">
        <v>359</v>
      </c>
      <c r="H16" s="353">
        <f t="shared" si="29"/>
        <v>11141.838039999999</v>
      </c>
      <c r="I16" s="363">
        <v>0.35</v>
      </c>
      <c r="J16" s="362">
        <v>8000</v>
      </c>
      <c r="K16" s="361">
        <f t="shared" si="12"/>
        <v>8000.4558616026688</v>
      </c>
      <c r="L16" s="390"/>
      <c r="M16" s="390">
        <f t="shared" si="0"/>
        <v>8602.6407114007179</v>
      </c>
      <c r="N16" s="372">
        <f t="shared" si="13"/>
        <v>75.905531063999987</v>
      </c>
      <c r="O16" s="373">
        <f t="shared" si="14"/>
        <v>11141.838039999999</v>
      </c>
      <c r="P16" s="374">
        <f t="shared" si="33"/>
        <v>1728.3676079999998</v>
      </c>
      <c r="Q16" s="373">
        <f>$H$16-$N$16-P16</f>
        <v>9337.5649009359986</v>
      </c>
      <c r="R16" s="373">
        <f t="shared" si="15"/>
        <v>22283.676079999997</v>
      </c>
      <c r="S16" s="374">
        <f>H16*0.2</f>
        <v>2228.367608</v>
      </c>
      <c r="T16" s="373">
        <f>$H$16-$N$16-S16</f>
        <v>8837.5649009359986</v>
      </c>
      <c r="U16" s="373">
        <f t="shared" si="1"/>
        <v>33425.514119999993</v>
      </c>
      <c r="V16" s="376">
        <f>(U16-25000)*0.27+(25000-R16)*0.2</f>
        <v>2818.1535963999986</v>
      </c>
      <c r="W16" s="373">
        <f t="shared" si="16"/>
        <v>8247.7789125359996</v>
      </c>
      <c r="X16" s="373">
        <f t="shared" si="2"/>
        <v>44567.352159999995</v>
      </c>
      <c r="Y16" s="376">
        <f t="shared" si="3"/>
        <v>3008.2962708</v>
      </c>
      <c r="Z16" s="373">
        <f>$H$16-$N$16-Y16</f>
        <v>8057.6362381359995</v>
      </c>
      <c r="AA16" s="373">
        <f t="shared" si="4"/>
        <v>55709.190199999997</v>
      </c>
      <c r="AB16" s="376">
        <f t="shared" si="17"/>
        <v>3008.2962708</v>
      </c>
      <c r="AC16" s="373">
        <f t="shared" si="18"/>
        <v>8057.6362381359995</v>
      </c>
      <c r="AD16" s="373">
        <f t="shared" si="5"/>
        <v>66851.028239999985</v>
      </c>
      <c r="AE16" s="376">
        <f t="shared" ref="AE16:AE26" si="35">H16*0.27</f>
        <v>3008.2962708</v>
      </c>
      <c r="AF16" s="373">
        <f t="shared" si="20"/>
        <v>8057.6362381359995</v>
      </c>
      <c r="AG16" s="373">
        <f t="shared" si="6"/>
        <v>77992.866279999987</v>
      </c>
      <c r="AH16" s="376">
        <f>H16*0.27</f>
        <v>3008.2962708</v>
      </c>
      <c r="AI16" s="373">
        <f t="shared" si="21"/>
        <v>8057.6362381359995</v>
      </c>
      <c r="AJ16" s="373">
        <f t="shared" si="7"/>
        <v>89134.70431999999</v>
      </c>
      <c r="AK16" s="377">
        <f>(AJ16-88000)*0.35+(88000-AG16)*0.27</f>
        <v>3099.0726163999998</v>
      </c>
      <c r="AL16" s="373">
        <f t="shared" si="22"/>
        <v>7966.8598925359993</v>
      </c>
      <c r="AM16" s="373">
        <f t="shared" si="8"/>
        <v>100276.54235999999</v>
      </c>
      <c r="AN16" s="377">
        <f>H16*0.35</f>
        <v>3899.6433139999995</v>
      </c>
      <c r="AO16" s="373">
        <f t="shared" si="23"/>
        <v>7166.2891949360001</v>
      </c>
      <c r="AP16" s="373">
        <f t="shared" si="9"/>
        <v>111418.38039999999</v>
      </c>
      <c r="AQ16" s="377">
        <f>H16*0.35</f>
        <v>3899.6433139999995</v>
      </c>
      <c r="AR16" s="373">
        <f t="shared" si="25"/>
        <v>7166.2891949360001</v>
      </c>
      <c r="AS16" s="373">
        <f t="shared" si="10"/>
        <v>122560.21843999998</v>
      </c>
      <c r="AT16" s="377">
        <f t="shared" si="26"/>
        <v>3899.6433139999995</v>
      </c>
      <c r="AU16" s="373">
        <f>$H$16-$N$16-AT16</f>
        <v>7166.2891949360001</v>
      </c>
      <c r="AV16" s="373">
        <f t="shared" si="11"/>
        <v>133702.05647999997</v>
      </c>
      <c r="AW16" s="377">
        <f t="shared" si="31"/>
        <v>3899.6433139999995</v>
      </c>
      <c r="AX16" s="373">
        <f t="shared" si="28"/>
        <v>7166.2891949360001</v>
      </c>
      <c r="AY16" s="371"/>
      <c r="BA16" s="358"/>
    </row>
    <row r="17" spans="1:53" s="233" customFormat="1" ht="30" hidden="1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32"/>
        <v>24980.1</v>
      </c>
      <c r="G17" s="233">
        <v>359</v>
      </c>
      <c r="H17" s="353">
        <f t="shared" si="29"/>
        <v>9283.3185999999987</v>
      </c>
      <c r="I17" s="363">
        <v>0.25</v>
      </c>
      <c r="J17" s="362">
        <v>6804</v>
      </c>
      <c r="K17" s="361">
        <f t="shared" si="12"/>
        <v>6804.684453906666</v>
      </c>
      <c r="L17" s="390"/>
      <c r="M17" s="390">
        <f t="shared" si="0"/>
        <v>7316.8650042007157</v>
      </c>
      <c r="N17" s="372">
        <f t="shared" si="13"/>
        <v>63.639302759999993</v>
      </c>
      <c r="O17" s="373">
        <f t="shared" si="14"/>
        <v>9283.3185999999987</v>
      </c>
      <c r="P17" s="378">
        <f>O17*0.15</f>
        <v>1392.4977899999997</v>
      </c>
      <c r="Q17" s="373">
        <f>$H$17-$N$17-P17</f>
        <v>7827.1815072399986</v>
      </c>
      <c r="R17" s="373">
        <f t="shared" si="15"/>
        <v>18566.637199999997</v>
      </c>
      <c r="S17" s="374">
        <f>(R17-10000)*0.2+(10000-O17)*0.15</f>
        <v>1820.8296499999997</v>
      </c>
      <c r="T17" s="373">
        <f>$H$17-$N$17-S17</f>
        <v>7398.8496472399984</v>
      </c>
      <c r="U17" s="373">
        <f t="shared" si="1"/>
        <v>27849.955799999996</v>
      </c>
      <c r="V17" s="376">
        <f>(U17-25000)*0.27+(25000-R17)*0.2</f>
        <v>2056.1606259999999</v>
      </c>
      <c r="W17" s="373">
        <f t="shared" si="16"/>
        <v>7163.5186712399982</v>
      </c>
      <c r="X17" s="373">
        <f t="shared" si="2"/>
        <v>37133.274399999995</v>
      </c>
      <c r="Y17" s="376">
        <f t="shared" si="3"/>
        <v>2506.4960219999998</v>
      </c>
      <c r="Z17" s="373">
        <f>$H$17-$N$17-Y17</f>
        <v>6713.1832752399987</v>
      </c>
      <c r="AA17" s="373">
        <f t="shared" si="4"/>
        <v>46416.592999999993</v>
      </c>
      <c r="AB17" s="376">
        <f t="shared" si="17"/>
        <v>2506.4960219999998</v>
      </c>
      <c r="AC17" s="373">
        <f t="shared" si="18"/>
        <v>6713.1832752399987</v>
      </c>
      <c r="AD17" s="373">
        <f t="shared" si="5"/>
        <v>55699.911599999992</v>
      </c>
      <c r="AE17" s="376">
        <f t="shared" si="35"/>
        <v>2506.4960219999998</v>
      </c>
      <c r="AF17" s="373">
        <f t="shared" si="20"/>
        <v>6713.1832752399987</v>
      </c>
      <c r="AG17" s="373">
        <f t="shared" si="6"/>
        <v>64983.230199999991</v>
      </c>
      <c r="AH17" s="376">
        <f>H17*0.27</f>
        <v>2506.4960219999998</v>
      </c>
      <c r="AI17" s="373">
        <f t="shared" si="21"/>
        <v>6713.1832752399987</v>
      </c>
      <c r="AJ17" s="373">
        <f t="shared" si="7"/>
        <v>74266.54879999999</v>
      </c>
      <c r="AK17" s="376">
        <f>H17*0.27</f>
        <v>2506.4960219999998</v>
      </c>
      <c r="AL17" s="373">
        <f t="shared" si="22"/>
        <v>6713.1832752399987</v>
      </c>
      <c r="AM17" s="373">
        <f t="shared" si="8"/>
        <v>83549.867399999988</v>
      </c>
      <c r="AN17" s="376">
        <f>H17*0.27</f>
        <v>2506.4960219999998</v>
      </c>
      <c r="AO17" s="373">
        <f t="shared" si="23"/>
        <v>6713.1832752399987</v>
      </c>
      <c r="AP17" s="373">
        <f t="shared" si="9"/>
        <v>92833.185999999987</v>
      </c>
      <c r="AQ17" s="377">
        <f>(AP17-88000)*0.35+(88000-AM17)*0.27</f>
        <v>2893.1509019999985</v>
      </c>
      <c r="AR17" s="373">
        <f t="shared" si="25"/>
        <v>6326.5283952399996</v>
      </c>
      <c r="AS17" s="373">
        <f t="shared" si="10"/>
        <v>102116.50459999999</v>
      </c>
      <c r="AT17" s="377">
        <f t="shared" si="26"/>
        <v>3249.1615099999995</v>
      </c>
      <c r="AU17" s="373">
        <f>$H$17-$N$17-AT17</f>
        <v>5970.5177872399981</v>
      </c>
      <c r="AV17" s="373">
        <f t="shared" si="11"/>
        <v>111399.82319999998</v>
      </c>
      <c r="AW17" s="377">
        <f t="shared" si="31"/>
        <v>3249.1615099999995</v>
      </c>
      <c r="AX17" s="373">
        <f t="shared" si="28"/>
        <v>5970.5177872399981</v>
      </c>
      <c r="AY17" s="371"/>
      <c r="BA17" s="358"/>
    </row>
    <row r="18" spans="1:53" s="233" customFormat="1" ht="30" hidden="1" customHeight="1" x14ac:dyDescent="0.45">
      <c r="A18" s="730"/>
      <c r="B18" s="461" t="s">
        <v>32</v>
      </c>
      <c r="C18" s="231">
        <v>450</v>
      </c>
      <c r="D18" s="234">
        <v>4996.0199999999995</v>
      </c>
      <c r="E18" s="234">
        <v>14988.06</v>
      </c>
      <c r="F18" s="234">
        <f t="shared" si="32"/>
        <v>19984.079999999998</v>
      </c>
      <c r="G18" s="233">
        <v>359</v>
      </c>
      <c r="H18" s="353">
        <f t="shared" si="29"/>
        <v>13418.524354000001</v>
      </c>
      <c r="I18" s="463">
        <v>0.63</v>
      </c>
      <c r="J18" s="362">
        <v>9500</v>
      </c>
      <c r="K18" s="361">
        <f t="shared" si="12"/>
        <v>9465.2758360302669</v>
      </c>
      <c r="L18" s="390"/>
      <c r="M18" s="390">
        <f t="shared" si="0"/>
        <v>10177.715952720717</v>
      </c>
      <c r="N18" s="372">
        <f t="shared" si="13"/>
        <v>90.931660736400005</v>
      </c>
      <c r="O18" s="373">
        <f t="shared" si="14"/>
        <v>13418.524354000001</v>
      </c>
      <c r="P18" s="374">
        <f t="shared" si="33"/>
        <v>2183.7048708000002</v>
      </c>
      <c r="Q18" s="373">
        <f>$H$18-$N$18-P18</f>
        <v>11143.887822463601</v>
      </c>
      <c r="R18" s="373">
        <f t="shared" si="15"/>
        <v>26837.048708000002</v>
      </c>
      <c r="S18" s="376">
        <f>(R18-25000)*0.27+(25000-O18)*0.2</f>
        <v>2812.2982803600003</v>
      </c>
      <c r="T18" s="373">
        <f>$H$18-$N$18-S18</f>
        <v>10515.2944129036</v>
      </c>
      <c r="U18" s="373">
        <f t="shared" si="1"/>
        <v>40255.573062000003</v>
      </c>
      <c r="V18" s="376">
        <f>H18*0.27</f>
        <v>3623.0015755800005</v>
      </c>
      <c r="W18" s="373">
        <f t="shared" si="16"/>
        <v>9704.5911176836016</v>
      </c>
      <c r="X18" s="373">
        <f t="shared" si="2"/>
        <v>53674.097416000004</v>
      </c>
      <c r="Y18" s="376">
        <f t="shared" si="3"/>
        <v>3623.0015755800005</v>
      </c>
      <c r="Z18" s="373">
        <f>$H$18-$N$18-Y18</f>
        <v>9704.5911176836016</v>
      </c>
      <c r="AA18" s="373">
        <f t="shared" si="4"/>
        <v>67092.621769999998</v>
      </c>
      <c r="AB18" s="376">
        <f t="shared" si="17"/>
        <v>3623.0015755800005</v>
      </c>
      <c r="AC18" s="373">
        <f t="shared" si="18"/>
        <v>9704.5911176836016</v>
      </c>
      <c r="AD18" s="373">
        <f t="shared" si="5"/>
        <v>80511.146124000006</v>
      </c>
      <c r="AE18" s="376">
        <f t="shared" si="35"/>
        <v>3623.0015755800005</v>
      </c>
      <c r="AF18" s="373">
        <f t="shared" si="20"/>
        <v>9704.5911176836016</v>
      </c>
      <c r="AG18" s="373">
        <f t="shared" si="6"/>
        <v>93929.670478000015</v>
      </c>
      <c r="AH18" s="377">
        <f>(AG18-88000)*0.35+(88000-AD18)*0.27</f>
        <v>4097.3752138200034</v>
      </c>
      <c r="AI18" s="373">
        <f t="shared" si="21"/>
        <v>9230.2174794435978</v>
      </c>
      <c r="AJ18" s="373">
        <f t="shared" si="7"/>
        <v>107348.19483200001</v>
      </c>
      <c r="AK18" s="377">
        <f>H18*0.35</f>
        <v>4696.4835239000004</v>
      </c>
      <c r="AL18" s="373">
        <f t="shared" si="22"/>
        <v>8631.1091693636008</v>
      </c>
      <c r="AM18" s="373">
        <f t="shared" si="8"/>
        <v>120766.719186</v>
      </c>
      <c r="AN18" s="377">
        <f>H18*0.35</f>
        <v>4696.4835239000004</v>
      </c>
      <c r="AO18" s="373">
        <f t="shared" si="23"/>
        <v>8631.1091693636008</v>
      </c>
      <c r="AP18" s="373">
        <f t="shared" si="9"/>
        <v>134185.24354</v>
      </c>
      <c r="AQ18" s="377">
        <f>H18*0.35</f>
        <v>4696.4835239000004</v>
      </c>
      <c r="AR18" s="373">
        <f t="shared" si="25"/>
        <v>8631.1091693636008</v>
      </c>
      <c r="AS18" s="373">
        <f t="shared" si="10"/>
        <v>147603.76789400002</v>
      </c>
      <c r="AT18" s="377">
        <f t="shared" si="26"/>
        <v>4696.4835239000004</v>
      </c>
      <c r="AU18" s="373">
        <f>$H$18-$N$18-AT18</f>
        <v>8631.1091693636008</v>
      </c>
      <c r="AV18" s="373">
        <f t="shared" si="11"/>
        <v>161022.29224800001</v>
      </c>
      <c r="AW18" s="377">
        <f t="shared" si="31"/>
        <v>4696.4835239000004</v>
      </c>
      <c r="AX18" s="373">
        <f t="shared" si="28"/>
        <v>8631.1091693636008</v>
      </c>
      <c r="AY18" s="371"/>
      <c r="BA18" s="358"/>
    </row>
    <row r="19" spans="1:53" s="233" customFormat="1" ht="30" hidden="1" customHeight="1" x14ac:dyDescent="0.45">
      <c r="A19" s="730"/>
      <c r="B19" s="461" t="s">
        <v>237</v>
      </c>
      <c r="C19" s="231">
        <v>450</v>
      </c>
      <c r="D19" s="234">
        <v>4996.0199999999995</v>
      </c>
      <c r="E19" s="234">
        <v>14988.06</v>
      </c>
      <c r="F19" s="234">
        <f t="shared" si="32"/>
        <v>19984.079999999998</v>
      </c>
      <c r="G19" s="233">
        <v>359</v>
      </c>
      <c r="H19" s="353">
        <f t="shared" si="29"/>
        <v>11606.4679</v>
      </c>
      <c r="I19" s="463">
        <v>0.5</v>
      </c>
      <c r="J19" s="362">
        <v>8300</v>
      </c>
      <c r="K19" s="361">
        <f t="shared" si="12"/>
        <v>8299.3987135266634</v>
      </c>
      <c r="L19" s="390"/>
      <c r="M19" s="390">
        <f t="shared" si="0"/>
        <v>8924.084638200713</v>
      </c>
      <c r="N19" s="372">
        <f t="shared" si="13"/>
        <v>78.972088139999997</v>
      </c>
      <c r="O19" s="373">
        <f t="shared" si="14"/>
        <v>11606.4679</v>
      </c>
      <c r="P19" s="374">
        <f t="shared" si="33"/>
        <v>1821.29358</v>
      </c>
      <c r="Q19" s="373">
        <f>$H$19-$N$19-P19</f>
        <v>9706.2022318599993</v>
      </c>
      <c r="R19" s="373">
        <f t="shared" si="15"/>
        <v>23212.935799999999</v>
      </c>
      <c r="S19" s="374">
        <f>H19*0.2</f>
        <v>2321.29358</v>
      </c>
      <c r="T19" s="373">
        <f>$H$19-$N$19-S19</f>
        <v>9206.2022318599993</v>
      </c>
      <c r="U19" s="373">
        <f t="shared" si="1"/>
        <v>34819.403699999995</v>
      </c>
      <c r="V19" s="376">
        <f>(U19-25000)*0.27+(25000-R19)*0.2</f>
        <v>3008.6518389999992</v>
      </c>
      <c r="W19" s="373">
        <f t="shared" si="16"/>
        <v>8518.8439728599988</v>
      </c>
      <c r="X19" s="373">
        <f t="shared" si="2"/>
        <v>46425.871599999999</v>
      </c>
      <c r="Y19" s="376">
        <f t="shared" si="3"/>
        <v>3133.746333</v>
      </c>
      <c r="Z19" s="373">
        <f>$H$19-$N$19-Y19</f>
        <v>8393.7494788599979</v>
      </c>
      <c r="AA19" s="373">
        <f t="shared" si="4"/>
        <v>58032.339500000002</v>
      </c>
      <c r="AB19" s="376">
        <f t="shared" si="17"/>
        <v>3133.746333</v>
      </c>
      <c r="AC19" s="373">
        <f t="shared" si="18"/>
        <v>8393.7494788599979</v>
      </c>
      <c r="AD19" s="373">
        <f t="shared" si="5"/>
        <v>69638.807399999991</v>
      </c>
      <c r="AE19" s="376">
        <f t="shared" si="35"/>
        <v>3133.746333</v>
      </c>
      <c r="AF19" s="373">
        <f t="shared" si="20"/>
        <v>8393.7494788599979</v>
      </c>
      <c r="AG19" s="373">
        <f t="shared" si="6"/>
        <v>81245.275299999994</v>
      </c>
      <c r="AH19" s="376">
        <f t="shared" ref="AH19:AH26" si="36">H19*0.27</f>
        <v>3133.746333</v>
      </c>
      <c r="AI19" s="373">
        <f t="shared" si="21"/>
        <v>8393.7494788599979</v>
      </c>
      <c r="AJ19" s="373">
        <f t="shared" si="7"/>
        <v>92851.743199999997</v>
      </c>
      <c r="AK19" s="377">
        <f>(AJ19-88000)*0.35+(88000-AG19)*0.27</f>
        <v>3521.8857890000008</v>
      </c>
      <c r="AL19" s="373">
        <f t="shared" si="22"/>
        <v>8005.610022859998</v>
      </c>
      <c r="AM19" s="373">
        <f t="shared" si="8"/>
        <v>104458.2111</v>
      </c>
      <c r="AN19" s="377">
        <f>H19*0.35</f>
        <v>4062.2637649999997</v>
      </c>
      <c r="AO19" s="373">
        <f t="shared" si="23"/>
        <v>7465.2320468599992</v>
      </c>
      <c r="AP19" s="373">
        <f t="shared" si="9"/>
        <v>116064.679</v>
      </c>
      <c r="AQ19" s="377">
        <f>H19*0.35</f>
        <v>4062.2637649999997</v>
      </c>
      <c r="AR19" s="373">
        <f t="shared" si="25"/>
        <v>7465.2320468599992</v>
      </c>
      <c r="AS19" s="373">
        <f t="shared" si="10"/>
        <v>127671.14689999999</v>
      </c>
      <c r="AT19" s="377">
        <f t="shared" si="26"/>
        <v>4062.2637649999997</v>
      </c>
      <c r="AU19" s="373">
        <f>$H$19-$N$19-AT19</f>
        <v>7465.2320468599992</v>
      </c>
      <c r="AV19" s="373">
        <f t="shared" si="11"/>
        <v>139277.61479999998</v>
      </c>
      <c r="AW19" s="377">
        <f t="shared" si="31"/>
        <v>4062.2637649999997</v>
      </c>
      <c r="AX19" s="373">
        <f t="shared" si="28"/>
        <v>7465.2320468599992</v>
      </c>
      <c r="AY19" s="371"/>
      <c r="BA19" s="358"/>
    </row>
    <row r="20" spans="1:53" s="233" customFormat="1" ht="30" hidden="1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29"/>
        <v>10026.726375999999</v>
      </c>
      <c r="I20" s="463">
        <v>0.57999999999999996</v>
      </c>
      <c r="J20" s="362">
        <v>7300</v>
      </c>
      <c r="K20" s="361">
        <f t="shared" si="12"/>
        <v>7282.9930169850659</v>
      </c>
      <c r="L20" s="390"/>
      <c r="M20" s="390">
        <f t="shared" si="0"/>
        <v>7831.1752870807159</v>
      </c>
      <c r="N20" s="372">
        <f t="shared" si="13"/>
        <v>68.545794081599993</v>
      </c>
      <c r="O20" s="373">
        <f t="shared" si="14"/>
        <v>10026.726375999999</v>
      </c>
      <c r="P20" s="374">
        <f t="shared" si="33"/>
        <v>1505.3452751999998</v>
      </c>
      <c r="Q20" s="373">
        <f>$H$20-$N$20-P20</f>
        <v>8452.8353067183998</v>
      </c>
      <c r="R20" s="373">
        <f t="shared" si="15"/>
        <v>20053.452751999997</v>
      </c>
      <c r="S20" s="374">
        <f>H20*0.2</f>
        <v>2005.3452751999998</v>
      </c>
      <c r="T20" s="373">
        <f>$H$20-$N$20-S20</f>
        <v>7952.8353067183998</v>
      </c>
      <c r="U20" s="373">
        <f t="shared" si="1"/>
        <v>30080.179127999996</v>
      </c>
      <c r="V20" s="376">
        <f>(U20-25000)*0.27+(25000-R20)*0.2</f>
        <v>2360.9578141599995</v>
      </c>
      <c r="W20" s="373">
        <f t="shared" si="16"/>
        <v>7597.2227677583996</v>
      </c>
      <c r="X20" s="373">
        <f t="shared" si="2"/>
        <v>40106.905503999995</v>
      </c>
      <c r="Y20" s="376">
        <f t="shared" si="3"/>
        <v>2707.2161215199999</v>
      </c>
      <c r="Z20" s="373">
        <f>$H$20-$N$20-Y20</f>
        <v>7250.9644603983998</v>
      </c>
      <c r="AA20" s="373">
        <f t="shared" si="4"/>
        <v>50133.631879999994</v>
      </c>
      <c r="AB20" s="376">
        <f t="shared" si="17"/>
        <v>2707.2161215199999</v>
      </c>
      <c r="AC20" s="373">
        <f t="shared" si="18"/>
        <v>7250.9644603983998</v>
      </c>
      <c r="AD20" s="373">
        <f t="shared" si="5"/>
        <v>60160.358255999992</v>
      </c>
      <c r="AE20" s="376">
        <f t="shared" si="35"/>
        <v>2707.2161215199999</v>
      </c>
      <c r="AF20" s="373">
        <f t="shared" si="20"/>
        <v>7250.9644603983998</v>
      </c>
      <c r="AG20" s="373">
        <f t="shared" si="6"/>
        <v>70187.084631999984</v>
      </c>
      <c r="AH20" s="376">
        <f t="shared" si="36"/>
        <v>2707.2161215199999</v>
      </c>
      <c r="AI20" s="373">
        <f t="shared" si="21"/>
        <v>7250.9644603983998</v>
      </c>
      <c r="AJ20" s="373">
        <f t="shared" si="7"/>
        <v>80213.81100799999</v>
      </c>
      <c r="AK20" s="376">
        <f t="shared" ref="AK20:AK27" si="37">H20*0.27</f>
        <v>2707.2161215199999</v>
      </c>
      <c r="AL20" s="373">
        <f t="shared" si="22"/>
        <v>7250.9644603983998</v>
      </c>
      <c r="AM20" s="373">
        <f t="shared" si="8"/>
        <v>90240.537383999996</v>
      </c>
      <c r="AN20" s="377">
        <f>(AM20-88000)*0.35+(88000-AJ20)*0.27</f>
        <v>2886.4591122400011</v>
      </c>
      <c r="AO20" s="373">
        <f t="shared" si="23"/>
        <v>7071.7214696783976</v>
      </c>
      <c r="AP20" s="373">
        <f t="shared" si="9"/>
        <v>100267.26375999999</v>
      </c>
      <c r="AQ20" s="377">
        <f>H20*0.35</f>
        <v>3509.3542315999994</v>
      </c>
      <c r="AR20" s="373">
        <f t="shared" si="25"/>
        <v>6448.8263503183998</v>
      </c>
      <c r="AS20" s="373">
        <f t="shared" si="10"/>
        <v>110293.99013599998</v>
      </c>
      <c r="AT20" s="377">
        <f t="shared" si="26"/>
        <v>3509.3542315999994</v>
      </c>
      <c r="AU20" s="373">
        <f>$H$20-$N$20-AT20</f>
        <v>6448.8263503183998</v>
      </c>
      <c r="AV20" s="373">
        <f t="shared" si="11"/>
        <v>120320.71651199998</v>
      </c>
      <c r="AW20" s="377">
        <f t="shared" si="31"/>
        <v>3509.3542315999994</v>
      </c>
      <c r="AX20" s="373">
        <f t="shared" si="28"/>
        <v>6448.8263503183998</v>
      </c>
      <c r="AY20" s="371"/>
      <c r="BA20" s="358"/>
    </row>
    <row r="21" spans="1:53" s="233" customFormat="1" ht="30" hidden="1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29"/>
        <v>9747.9484599999996</v>
      </c>
      <c r="I21" s="363">
        <v>0.55000000000000004</v>
      </c>
      <c r="J21" s="362">
        <v>7100</v>
      </c>
      <c r="K21" s="361">
        <f t="shared" si="12"/>
        <v>7103.627305830666</v>
      </c>
      <c r="L21" s="390"/>
      <c r="M21" s="390">
        <f t="shared" si="0"/>
        <v>7638.3089310007153</v>
      </c>
      <c r="N21" s="372">
        <f t="shared" si="13"/>
        <v>66.705859836000002</v>
      </c>
      <c r="O21" s="373">
        <f t="shared" si="14"/>
        <v>9747.9484599999996</v>
      </c>
      <c r="P21" s="378">
        <f>O21*0.15</f>
        <v>1462.1922689999999</v>
      </c>
      <c r="Q21" s="373">
        <f>$H$21-$N$21-P21</f>
        <v>8219.0503311640005</v>
      </c>
      <c r="R21" s="373">
        <f t="shared" si="15"/>
        <v>19495.896919999999</v>
      </c>
      <c r="S21" s="374">
        <f>(R21-10000)*0.2+(10000-O21)*0.15</f>
        <v>1936.9871150000001</v>
      </c>
      <c r="T21" s="373">
        <f>$H$21-$N$21-S21</f>
        <v>7744.2554851639998</v>
      </c>
      <c r="U21" s="373">
        <f t="shared" si="1"/>
        <v>29243.845379999999</v>
      </c>
      <c r="V21" s="376">
        <f>(U21-25000)*0.27+(25000-R21)*0.2</f>
        <v>2246.6588686</v>
      </c>
      <c r="W21" s="373">
        <f t="shared" si="16"/>
        <v>7434.5837315640001</v>
      </c>
      <c r="X21" s="373">
        <f t="shared" si="2"/>
        <v>38991.793839999998</v>
      </c>
      <c r="Y21" s="376">
        <f t="shared" si="3"/>
        <v>2631.9460841999999</v>
      </c>
      <c r="Z21" s="373">
        <f>$H$21-$N$21-Y21</f>
        <v>7049.2965159639998</v>
      </c>
      <c r="AA21" s="373">
        <f t="shared" si="4"/>
        <v>48739.742299999998</v>
      </c>
      <c r="AB21" s="376">
        <f t="shared" si="17"/>
        <v>2631.9460841999999</v>
      </c>
      <c r="AC21" s="373">
        <f t="shared" si="18"/>
        <v>7049.2965159639998</v>
      </c>
      <c r="AD21" s="373">
        <f t="shared" si="5"/>
        <v>58487.690759999998</v>
      </c>
      <c r="AE21" s="376">
        <f t="shared" si="35"/>
        <v>2631.9460841999999</v>
      </c>
      <c r="AF21" s="373">
        <f t="shared" si="20"/>
        <v>7049.2965159639998</v>
      </c>
      <c r="AG21" s="373">
        <f t="shared" si="6"/>
        <v>68235.639219999997</v>
      </c>
      <c r="AH21" s="376">
        <f t="shared" si="36"/>
        <v>2631.9460841999999</v>
      </c>
      <c r="AI21" s="373">
        <f t="shared" si="21"/>
        <v>7049.2965159639998</v>
      </c>
      <c r="AJ21" s="373">
        <f t="shared" si="7"/>
        <v>77983.587679999997</v>
      </c>
      <c r="AK21" s="376">
        <f t="shared" si="37"/>
        <v>2631.9460841999999</v>
      </c>
      <c r="AL21" s="373">
        <f t="shared" si="22"/>
        <v>7049.2965159639998</v>
      </c>
      <c r="AM21" s="373">
        <f t="shared" si="8"/>
        <v>87731.536139999997</v>
      </c>
      <c r="AN21" s="376">
        <f t="shared" ref="AN21:AN27" si="38">H21*0.27</f>
        <v>2631.9460841999999</v>
      </c>
      <c r="AO21" s="373">
        <f t="shared" si="23"/>
        <v>7049.2965159639998</v>
      </c>
      <c r="AP21" s="373">
        <f t="shared" si="9"/>
        <v>97479.484599999996</v>
      </c>
      <c r="AQ21" s="377">
        <f>(AP21-88000)*0.35+(88000-AM21)*0.27</f>
        <v>3390.3048521999995</v>
      </c>
      <c r="AR21" s="373">
        <f t="shared" si="25"/>
        <v>6290.9377479640007</v>
      </c>
      <c r="AS21" s="373">
        <f t="shared" si="10"/>
        <v>107227.43306</v>
      </c>
      <c r="AT21" s="377">
        <f t="shared" si="26"/>
        <v>3411.7819609999997</v>
      </c>
      <c r="AU21" s="373">
        <f>$H$21-$N$21-AT21</f>
        <v>6269.460639164</v>
      </c>
      <c r="AV21" s="373">
        <f t="shared" si="11"/>
        <v>116975.38152</v>
      </c>
      <c r="AW21" s="377">
        <f t="shared" si="31"/>
        <v>3411.7819609999997</v>
      </c>
      <c r="AX21" s="373">
        <f t="shared" si="28"/>
        <v>6269.460639164</v>
      </c>
      <c r="AY21" s="371"/>
      <c r="BA21" s="358"/>
    </row>
    <row r="22" spans="1:53" s="233" customFormat="1" ht="30" hidden="1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29"/>
        <v>9376.2445719999996</v>
      </c>
      <c r="I22" s="463">
        <v>0.51</v>
      </c>
      <c r="J22" s="362">
        <v>6900</v>
      </c>
      <c r="K22" s="361">
        <f t="shared" si="12"/>
        <v>6864.4730242914638</v>
      </c>
      <c r="L22" s="390"/>
      <c r="M22" s="390">
        <f t="shared" si="0"/>
        <v>7381.1537895607134</v>
      </c>
      <c r="N22" s="372">
        <f t="shared" si="13"/>
        <v>64.252614175199994</v>
      </c>
      <c r="O22" s="373">
        <f t="shared" si="14"/>
        <v>9376.2445719999996</v>
      </c>
      <c r="P22" s="378">
        <f>O22*0.15</f>
        <v>1406.4366857999999</v>
      </c>
      <c r="Q22" s="373">
        <f>$H$22-$N$22-P22</f>
        <v>7905.5552720247997</v>
      </c>
      <c r="R22" s="373">
        <f t="shared" si="15"/>
        <v>18752.489143999999</v>
      </c>
      <c r="S22" s="374">
        <f>(R22-10000)*0.2+(10000-O22)*0.15</f>
        <v>1844.0611430000001</v>
      </c>
      <c r="T22" s="373">
        <f>$H$22-$N$22-S22</f>
        <v>7467.9308148247992</v>
      </c>
      <c r="U22" s="373">
        <f t="shared" si="1"/>
        <v>28128.733715999999</v>
      </c>
      <c r="V22" s="376">
        <f>(U22-25000)*0.27+(25000-R22)*0.2</f>
        <v>2094.2602745200002</v>
      </c>
      <c r="W22" s="373">
        <f t="shared" si="16"/>
        <v>7217.7316833047989</v>
      </c>
      <c r="X22" s="373">
        <f t="shared" si="2"/>
        <v>37504.978287999998</v>
      </c>
      <c r="Y22" s="376">
        <f t="shared" si="3"/>
        <v>2531.5860344400003</v>
      </c>
      <c r="Z22" s="373">
        <f>$H$22-$N$22-Y22</f>
        <v>6780.4059233847984</v>
      </c>
      <c r="AA22" s="373">
        <f t="shared" si="4"/>
        <v>46881.222859999994</v>
      </c>
      <c r="AB22" s="376">
        <f t="shared" si="17"/>
        <v>2531.5860344400003</v>
      </c>
      <c r="AC22" s="373">
        <f t="shared" si="18"/>
        <v>6780.4059233847984</v>
      </c>
      <c r="AD22" s="373">
        <f t="shared" si="5"/>
        <v>56257.467431999998</v>
      </c>
      <c r="AE22" s="376">
        <f t="shared" si="35"/>
        <v>2531.5860344400003</v>
      </c>
      <c r="AF22" s="373">
        <f t="shared" si="20"/>
        <v>6780.4059233847984</v>
      </c>
      <c r="AG22" s="373">
        <f t="shared" si="6"/>
        <v>65633.712004000001</v>
      </c>
      <c r="AH22" s="376">
        <f t="shared" si="36"/>
        <v>2531.5860344400003</v>
      </c>
      <c r="AI22" s="373">
        <f t="shared" si="21"/>
        <v>6780.4059233847984</v>
      </c>
      <c r="AJ22" s="373">
        <f t="shared" si="7"/>
        <v>75009.956575999997</v>
      </c>
      <c r="AK22" s="376">
        <f t="shared" si="37"/>
        <v>2531.5860344400003</v>
      </c>
      <c r="AL22" s="373">
        <f t="shared" si="22"/>
        <v>6780.4059233847984</v>
      </c>
      <c r="AM22" s="373">
        <f t="shared" si="8"/>
        <v>84386.201147999993</v>
      </c>
      <c r="AN22" s="376">
        <f t="shared" si="38"/>
        <v>2531.5860344400003</v>
      </c>
      <c r="AO22" s="373">
        <f t="shared" si="23"/>
        <v>6780.4059233847984</v>
      </c>
      <c r="AP22" s="373">
        <f t="shared" si="9"/>
        <v>93762.445719999989</v>
      </c>
      <c r="AQ22" s="377">
        <f>(AP22-88000)*0.35+(88000-AM22)*0.27</f>
        <v>2992.581692039998</v>
      </c>
      <c r="AR22" s="373">
        <f t="shared" si="25"/>
        <v>6319.4102657848016</v>
      </c>
      <c r="AS22" s="373">
        <f t="shared" si="10"/>
        <v>103138.690292</v>
      </c>
      <c r="AT22" s="377">
        <f t="shared" si="26"/>
        <v>3281.6856001999995</v>
      </c>
      <c r="AU22" s="373">
        <f>$H$22-$N$22-AT22</f>
        <v>6030.3063576247996</v>
      </c>
      <c r="AV22" s="373">
        <f t="shared" si="11"/>
        <v>112514.934864</v>
      </c>
      <c r="AW22" s="377">
        <f t="shared" si="31"/>
        <v>3281.6856001999995</v>
      </c>
      <c r="AX22" s="373">
        <f t="shared" si="28"/>
        <v>6030.3063576247996</v>
      </c>
      <c r="AY22" s="371"/>
      <c r="BA22" s="358"/>
    </row>
    <row r="23" spans="1:53" s="233" customFormat="1" ht="30" hidden="1" customHeight="1" x14ac:dyDescent="0.45">
      <c r="A23" s="730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29"/>
        <v>6309.6874959999996</v>
      </c>
      <c r="I23" s="464">
        <v>0.18</v>
      </c>
      <c r="J23" s="362">
        <v>4900</v>
      </c>
      <c r="K23" s="361">
        <f t="shared" si="12"/>
        <v>4809.5585346064008</v>
      </c>
      <c r="L23" s="390"/>
      <c r="M23" s="390">
        <f t="shared" si="0"/>
        <v>5171.5683167810757</v>
      </c>
      <c r="N23" s="372">
        <f t="shared" si="13"/>
        <v>44.013337473599996</v>
      </c>
      <c r="O23" s="373">
        <f t="shared" si="14"/>
        <v>6309.6874959999996</v>
      </c>
      <c r="P23" s="378">
        <f>O23*0.15</f>
        <v>946.45312439999987</v>
      </c>
      <c r="Q23" s="373">
        <f>$H$23-$N$23-P23</f>
        <v>5319.2210341263999</v>
      </c>
      <c r="R23" s="373">
        <f t="shared" si="15"/>
        <v>12619.374991999999</v>
      </c>
      <c r="S23" s="374">
        <f>(R23-10000)*0.2+(10000-O23)*0.15</f>
        <v>1077.4218739999999</v>
      </c>
      <c r="T23" s="373">
        <f>$H$23-$N$23-S23</f>
        <v>5188.2522845264002</v>
      </c>
      <c r="U23" s="373">
        <f t="shared" si="1"/>
        <v>18929.062488</v>
      </c>
      <c r="V23" s="374">
        <f>H23*0.2</f>
        <v>1261.9374992</v>
      </c>
      <c r="W23" s="373">
        <f t="shared" si="16"/>
        <v>5003.7366593263996</v>
      </c>
      <c r="X23" s="373">
        <f t="shared" si="2"/>
        <v>25238.749983999998</v>
      </c>
      <c r="Y23" s="376">
        <f>(X23-25000)*0.27+(25000-U23)*0.2</f>
        <v>1278.6499980799997</v>
      </c>
      <c r="Z23" s="373">
        <f>$H$23-$N$23-Y23</f>
        <v>4987.0241604463999</v>
      </c>
      <c r="AA23" s="373">
        <f t="shared" si="4"/>
        <v>31548.437479999997</v>
      </c>
      <c r="AB23" s="376">
        <f t="shared" si="17"/>
        <v>1703.61562392</v>
      </c>
      <c r="AC23" s="373">
        <f t="shared" si="18"/>
        <v>4562.0585346063999</v>
      </c>
      <c r="AD23" s="373">
        <f t="shared" si="5"/>
        <v>37858.124975999999</v>
      </c>
      <c r="AE23" s="376">
        <f t="shared" si="35"/>
        <v>1703.61562392</v>
      </c>
      <c r="AF23" s="373">
        <f t="shared" si="20"/>
        <v>4562.0585346063999</v>
      </c>
      <c r="AG23" s="373">
        <f t="shared" si="6"/>
        <v>44167.812471999998</v>
      </c>
      <c r="AH23" s="376">
        <f t="shared" si="36"/>
        <v>1703.61562392</v>
      </c>
      <c r="AI23" s="373">
        <f t="shared" si="21"/>
        <v>4562.0585346063999</v>
      </c>
      <c r="AJ23" s="373">
        <f t="shared" si="7"/>
        <v>50477.499967999996</v>
      </c>
      <c r="AK23" s="376">
        <f t="shared" si="37"/>
        <v>1703.61562392</v>
      </c>
      <c r="AL23" s="373">
        <f t="shared" si="22"/>
        <v>4562.0585346063999</v>
      </c>
      <c r="AM23" s="373">
        <f t="shared" si="8"/>
        <v>56787.187463999995</v>
      </c>
      <c r="AN23" s="376">
        <f t="shared" si="38"/>
        <v>1703.61562392</v>
      </c>
      <c r="AO23" s="373">
        <f t="shared" si="23"/>
        <v>4562.0585346063999</v>
      </c>
      <c r="AP23" s="373">
        <f t="shared" si="9"/>
        <v>63096.874959999994</v>
      </c>
      <c r="AQ23" s="376">
        <f>H23*0.27</f>
        <v>1703.61562392</v>
      </c>
      <c r="AR23" s="373">
        <f t="shared" si="25"/>
        <v>4562.0585346063999</v>
      </c>
      <c r="AS23" s="373">
        <f t="shared" si="10"/>
        <v>69406.562456</v>
      </c>
      <c r="AT23" s="376">
        <f>H23*0.27</f>
        <v>1703.61562392</v>
      </c>
      <c r="AU23" s="373">
        <f>$H$23-$N$23-AT23</f>
        <v>4562.0585346063999</v>
      </c>
      <c r="AV23" s="373">
        <f t="shared" si="11"/>
        <v>75716.249951999998</v>
      </c>
      <c r="AW23" s="376">
        <f t="shared" ref="AW23:AW27" si="39">H23*0.27</f>
        <v>1703.61562392</v>
      </c>
      <c r="AX23" s="373">
        <f t="shared" si="28"/>
        <v>4562.0585346063999</v>
      </c>
      <c r="AY23" s="371"/>
      <c r="BA23" s="358"/>
    </row>
    <row r="24" spans="1:53" s="233" customFormat="1" ht="30" hidden="1" customHeight="1" x14ac:dyDescent="0.45">
      <c r="A24" s="731" t="s">
        <v>172</v>
      </c>
      <c r="B24" s="348" t="s">
        <v>282</v>
      </c>
      <c r="C24" s="317">
        <v>125</v>
      </c>
      <c r="D24" s="238">
        <v>3330.68</v>
      </c>
      <c r="E24" s="238">
        <v>4163.3499999999995</v>
      </c>
      <c r="F24" s="238">
        <f t="shared" ref="F24:F27" si="40">D24+E24</f>
        <v>7494.0299999999988</v>
      </c>
      <c r="G24" s="233">
        <v>359</v>
      </c>
      <c r="H24" s="353">
        <f t="shared" si="29"/>
        <v>6495.1231049999997</v>
      </c>
      <c r="I24" s="463">
        <v>0.91</v>
      </c>
      <c r="J24" s="362">
        <v>5000</v>
      </c>
      <c r="K24" s="361">
        <f t="shared" si="12"/>
        <v>4943.7026541570003</v>
      </c>
      <c r="L24" s="390"/>
      <c r="M24" s="390">
        <f t="shared" si="0"/>
        <v>5315.8093055451618</v>
      </c>
      <c r="N24" s="372">
        <f t="shared" si="13"/>
        <v>45.237212492999994</v>
      </c>
      <c r="O24" s="373">
        <f t="shared" si="14"/>
        <v>6495.1231049999997</v>
      </c>
      <c r="P24" s="378">
        <f t="shared" ref="P24:P28" si="41">O24*0.15</f>
        <v>974.2684657499999</v>
      </c>
      <c r="Q24" s="373">
        <f>$H$24-$N$24-P24</f>
        <v>5475.6174267570004</v>
      </c>
      <c r="R24" s="373">
        <f t="shared" si="15"/>
        <v>12990.246209999999</v>
      </c>
      <c r="S24" s="374">
        <f>(R24-10000)*0.2+(10000-O24)*0.15</f>
        <v>1123.7807762499999</v>
      </c>
      <c r="T24" s="373">
        <f>$H$24-$N$24-S24</f>
        <v>5326.1051162570002</v>
      </c>
      <c r="U24" s="373">
        <f t="shared" si="1"/>
        <v>19485.369315</v>
      </c>
      <c r="V24" s="374">
        <f>H24*0.2</f>
        <v>1299.024621</v>
      </c>
      <c r="W24" s="373">
        <f t="shared" si="16"/>
        <v>5150.8612715069994</v>
      </c>
      <c r="X24" s="373">
        <f t="shared" si="2"/>
        <v>25980.492419999999</v>
      </c>
      <c r="Y24" s="376">
        <f>(X24-25000)*0.27+(25000-U24)*0.2</f>
        <v>1367.6590903999997</v>
      </c>
      <c r="Z24" s="373">
        <f>$H$24-$N$24-Y24</f>
        <v>5082.2268021070004</v>
      </c>
      <c r="AA24" s="373">
        <f t="shared" si="4"/>
        <v>32475.615524999997</v>
      </c>
      <c r="AB24" s="376">
        <f t="shared" si="17"/>
        <v>1753.68323835</v>
      </c>
      <c r="AC24" s="373">
        <f t="shared" si="18"/>
        <v>4696.2026541569994</v>
      </c>
      <c r="AD24" s="373">
        <f t="shared" si="5"/>
        <v>38970.73863</v>
      </c>
      <c r="AE24" s="376">
        <f t="shared" si="35"/>
        <v>1753.68323835</v>
      </c>
      <c r="AF24" s="373">
        <f t="shared" si="20"/>
        <v>4696.2026541569994</v>
      </c>
      <c r="AG24" s="373">
        <f t="shared" si="6"/>
        <v>45465.861734999999</v>
      </c>
      <c r="AH24" s="376">
        <f t="shared" si="36"/>
        <v>1753.68323835</v>
      </c>
      <c r="AI24" s="373">
        <f t="shared" si="21"/>
        <v>4696.2026541569994</v>
      </c>
      <c r="AJ24" s="373">
        <f t="shared" si="7"/>
        <v>51960.984839999997</v>
      </c>
      <c r="AK24" s="376">
        <f t="shared" si="37"/>
        <v>1753.68323835</v>
      </c>
      <c r="AL24" s="373">
        <f t="shared" si="22"/>
        <v>4696.2026541569994</v>
      </c>
      <c r="AM24" s="373">
        <f t="shared" si="8"/>
        <v>58456.107944999996</v>
      </c>
      <c r="AN24" s="376">
        <f t="shared" si="38"/>
        <v>1753.68323835</v>
      </c>
      <c r="AO24" s="373">
        <f t="shared" si="23"/>
        <v>4696.2026541569994</v>
      </c>
      <c r="AP24" s="373">
        <f t="shared" si="9"/>
        <v>64951.231049999995</v>
      </c>
      <c r="AQ24" s="376">
        <f>H24*0.27</f>
        <v>1753.68323835</v>
      </c>
      <c r="AR24" s="373">
        <f t="shared" si="25"/>
        <v>4696.2026541569994</v>
      </c>
      <c r="AS24" s="373">
        <f t="shared" si="10"/>
        <v>71446.354154999994</v>
      </c>
      <c r="AT24" s="376">
        <f>H24*0.27</f>
        <v>1753.68323835</v>
      </c>
      <c r="AU24" s="373">
        <f>$H$24-$N$24-AT24</f>
        <v>4696.2026541569994</v>
      </c>
      <c r="AV24" s="373">
        <f t="shared" si="11"/>
        <v>77941.47726</v>
      </c>
      <c r="AW24" s="376">
        <f t="shared" si="39"/>
        <v>1753.68323835</v>
      </c>
      <c r="AX24" s="373">
        <f t="shared" si="28"/>
        <v>4696.2026541569994</v>
      </c>
      <c r="AY24" s="371"/>
      <c r="BA24" s="358"/>
    </row>
    <row r="25" spans="1:53" s="233" customFormat="1" ht="30" hidden="1" customHeight="1" x14ac:dyDescent="0.45">
      <c r="A25" s="732"/>
      <c r="B25" s="348" t="s">
        <v>281</v>
      </c>
      <c r="C25" s="317">
        <v>125</v>
      </c>
      <c r="D25" s="238">
        <v>3330.68</v>
      </c>
      <c r="E25" s="238">
        <v>4163.3499999999995</v>
      </c>
      <c r="F25" s="238">
        <f t="shared" si="40"/>
        <v>7494.0299999999988</v>
      </c>
      <c r="G25" s="233">
        <v>359</v>
      </c>
      <c r="H25" s="353">
        <f t="shared" si="29"/>
        <v>5798.1783149999992</v>
      </c>
      <c r="I25" s="363">
        <v>0.73</v>
      </c>
      <c r="J25" s="362">
        <v>4500</v>
      </c>
      <c r="K25" s="361">
        <f>((Q25+T25+W25+Z25+AC25+AF25+AI25+AL25+AO25+AR25+AU25+AX25)/12)+60</f>
        <v>4497.2282059364989</v>
      </c>
      <c r="L25" s="390"/>
      <c r="M25" s="390">
        <f t="shared" si="0"/>
        <v>4835.72925369516</v>
      </c>
      <c r="N25" s="372">
        <f t="shared" si="13"/>
        <v>40.637376878999994</v>
      </c>
      <c r="O25" s="373">
        <f t="shared" si="14"/>
        <v>5798.1783149999992</v>
      </c>
      <c r="P25" s="378">
        <f t="shared" si="41"/>
        <v>869.7267472499999</v>
      </c>
      <c r="Q25" s="373">
        <f>$H$24-$N$24-P25</f>
        <v>5580.1591452570001</v>
      </c>
      <c r="R25" s="373">
        <f t="shared" si="15"/>
        <v>11596.356629999998</v>
      </c>
      <c r="S25" s="374">
        <f>(R25-10000)*0.2+(10000-O25)*0.15</f>
        <v>949.5445787499998</v>
      </c>
      <c r="T25" s="373">
        <f>H25-N25-S25</f>
        <v>4807.9963593709999</v>
      </c>
      <c r="U25" s="373">
        <f t="shared" si="1"/>
        <v>17394.534944999999</v>
      </c>
      <c r="V25" s="374">
        <f>H25*0.2</f>
        <v>1159.6356629999998</v>
      </c>
      <c r="W25" s="373">
        <f t="shared" si="16"/>
        <v>4597.9052751209992</v>
      </c>
      <c r="X25" s="373">
        <f t="shared" si="2"/>
        <v>23192.713259999997</v>
      </c>
      <c r="Y25" s="374">
        <f>H25*0.2</f>
        <v>1159.6356629999998</v>
      </c>
      <c r="Z25" s="373">
        <f>H25-N25-Y25</f>
        <v>4597.9052751209992</v>
      </c>
      <c r="AA25" s="373">
        <f t="shared" si="4"/>
        <v>28990.891574999994</v>
      </c>
      <c r="AB25" s="376">
        <f>(AA25-25000)*0.27+(25000-X25)*0.2</f>
        <v>1438.9980732499992</v>
      </c>
      <c r="AC25" s="373">
        <f t="shared" si="18"/>
        <v>4318.5428648710003</v>
      </c>
      <c r="AD25" s="373">
        <f t="shared" si="5"/>
        <v>34789.069889999999</v>
      </c>
      <c r="AE25" s="376">
        <f t="shared" si="35"/>
        <v>1565.5081450499999</v>
      </c>
      <c r="AF25" s="373">
        <f t="shared" si="20"/>
        <v>4192.0327930709991</v>
      </c>
      <c r="AG25" s="373">
        <f t="shared" si="6"/>
        <v>40587.248204999996</v>
      </c>
      <c r="AH25" s="376">
        <f t="shared" si="36"/>
        <v>1565.5081450499999</v>
      </c>
      <c r="AI25" s="373">
        <f t="shared" si="21"/>
        <v>4192.0327930709991</v>
      </c>
      <c r="AJ25" s="373">
        <f t="shared" si="7"/>
        <v>46385.426519999994</v>
      </c>
      <c r="AK25" s="376">
        <f t="shared" si="37"/>
        <v>1565.5081450499999</v>
      </c>
      <c r="AL25" s="373">
        <f t="shared" si="22"/>
        <v>4192.0327930709991</v>
      </c>
      <c r="AM25" s="373">
        <f t="shared" si="8"/>
        <v>52183.604834999991</v>
      </c>
      <c r="AN25" s="376">
        <f t="shared" si="38"/>
        <v>1565.5081450499999</v>
      </c>
      <c r="AO25" s="373">
        <f t="shared" si="23"/>
        <v>4192.0327930709991</v>
      </c>
      <c r="AP25" s="373">
        <f t="shared" si="9"/>
        <v>57981.783149999988</v>
      </c>
      <c r="AQ25" s="376">
        <f>H25*0.27</f>
        <v>1565.5081450499999</v>
      </c>
      <c r="AR25" s="373">
        <f t="shared" si="25"/>
        <v>4192.0327930709991</v>
      </c>
      <c r="AS25" s="373">
        <f t="shared" si="10"/>
        <v>63779.961464999993</v>
      </c>
      <c r="AT25" s="376">
        <f>H25*0.27</f>
        <v>1565.5081450499999</v>
      </c>
      <c r="AU25" s="373">
        <f>H25-N25-AT25</f>
        <v>4192.0327930709991</v>
      </c>
      <c r="AV25" s="373">
        <f t="shared" si="11"/>
        <v>69578.139779999998</v>
      </c>
      <c r="AW25" s="376">
        <f t="shared" si="39"/>
        <v>1565.5081450499999</v>
      </c>
      <c r="AX25" s="373">
        <f t="shared" si="28"/>
        <v>4192.0327930709991</v>
      </c>
      <c r="AY25" s="371"/>
      <c r="BA25" s="358"/>
    </row>
    <row r="26" spans="1:53" s="233" customFormat="1" ht="30" hidden="1" customHeight="1" x14ac:dyDescent="0.45">
      <c r="A26" s="732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40"/>
        <v>7494.0299999999988</v>
      </c>
      <c r="G26" s="233">
        <v>278</v>
      </c>
      <c r="H26" s="353">
        <f>D26+E26*$H$5*$I26-G26</f>
        <v>5066.0760599999994</v>
      </c>
      <c r="I26" s="391">
        <v>0.52</v>
      </c>
      <c r="J26" s="362">
        <v>4000</v>
      </c>
      <c r="K26" s="361">
        <f t="shared" si="12"/>
        <v>3910.4646218039993</v>
      </c>
      <c r="L26" s="390"/>
      <c r="M26" s="390">
        <f t="shared" si="0"/>
        <v>4204.8006686064509</v>
      </c>
      <c r="N26" s="372">
        <f t="shared" si="13"/>
        <v>35.270901995999999</v>
      </c>
      <c r="O26" s="373">
        <f t="shared" si="14"/>
        <v>5066.0760599999994</v>
      </c>
      <c r="P26" s="378">
        <f t="shared" si="41"/>
        <v>759.91140899999994</v>
      </c>
      <c r="Q26" s="373">
        <f>H26-N26-P26</f>
        <v>4270.8937490039989</v>
      </c>
      <c r="R26" s="373">
        <f t="shared" si="15"/>
        <v>10132.152119999999</v>
      </c>
      <c r="S26" s="374">
        <f t="shared" ref="S26" si="42">(R26-10000)*0.2+(10000-O26)*0.15</f>
        <v>766.51901499999985</v>
      </c>
      <c r="T26" s="373">
        <f>H26-N26-S26</f>
        <v>4264.2861430039993</v>
      </c>
      <c r="U26" s="373">
        <f t="shared" si="1"/>
        <v>15198.228179999998</v>
      </c>
      <c r="V26" s="374">
        <f>H26*0.2</f>
        <v>1013.215212</v>
      </c>
      <c r="W26" s="373">
        <f t="shared" si="16"/>
        <v>4017.5899460039991</v>
      </c>
      <c r="X26" s="373">
        <f t="shared" si="2"/>
        <v>20264.304239999998</v>
      </c>
      <c r="Y26" s="374">
        <f>H26*0.2</f>
        <v>1013.215212</v>
      </c>
      <c r="Z26" s="373">
        <f>H26-N26-Y26</f>
        <v>4017.5899460039991</v>
      </c>
      <c r="AA26" s="373">
        <f t="shared" si="4"/>
        <v>25330.380299999997</v>
      </c>
      <c r="AB26" s="376">
        <f>(AA26-25000)*0.27+(25000-X26)*0.2</f>
        <v>1036.3418329999997</v>
      </c>
      <c r="AC26" s="373">
        <f t="shared" si="18"/>
        <v>3994.4633250039997</v>
      </c>
      <c r="AD26" s="373">
        <f t="shared" si="5"/>
        <v>30396.456359999996</v>
      </c>
      <c r="AE26" s="376">
        <f t="shared" si="35"/>
        <v>1367.8405361999999</v>
      </c>
      <c r="AF26" s="373">
        <f t="shared" si="20"/>
        <v>3662.9646218039993</v>
      </c>
      <c r="AG26" s="373">
        <f t="shared" si="6"/>
        <v>35462.532419999996</v>
      </c>
      <c r="AH26" s="376">
        <f t="shared" si="36"/>
        <v>1367.8405361999999</v>
      </c>
      <c r="AI26" s="373">
        <f t="shared" si="21"/>
        <v>3662.9646218039993</v>
      </c>
      <c r="AJ26" s="373">
        <f t="shared" si="7"/>
        <v>40528.608479999995</v>
      </c>
      <c r="AK26" s="376">
        <f t="shared" si="37"/>
        <v>1367.8405361999999</v>
      </c>
      <c r="AL26" s="373">
        <f t="shared" si="22"/>
        <v>3662.9646218039993</v>
      </c>
      <c r="AM26" s="373">
        <f t="shared" si="8"/>
        <v>45594.684539999995</v>
      </c>
      <c r="AN26" s="376">
        <f t="shared" si="38"/>
        <v>1367.8405361999999</v>
      </c>
      <c r="AO26" s="373">
        <f t="shared" si="23"/>
        <v>3662.9646218039993</v>
      </c>
      <c r="AP26" s="373">
        <f t="shared" si="9"/>
        <v>50660.760599999994</v>
      </c>
      <c r="AQ26" s="376">
        <f>H26*0.27</f>
        <v>1367.8405361999999</v>
      </c>
      <c r="AR26" s="373">
        <f t="shared" si="25"/>
        <v>3662.9646218039993</v>
      </c>
      <c r="AS26" s="373">
        <f t="shared" si="10"/>
        <v>55726.836659999994</v>
      </c>
      <c r="AT26" s="376">
        <f>H26*0.27</f>
        <v>1367.8405361999999</v>
      </c>
      <c r="AU26" s="373">
        <f>H26-N26-AT26</f>
        <v>3662.9646218039993</v>
      </c>
      <c r="AV26" s="373">
        <f t="shared" si="11"/>
        <v>60792.912719999993</v>
      </c>
      <c r="AW26" s="376">
        <f t="shared" si="39"/>
        <v>1367.8405361999999</v>
      </c>
      <c r="AX26" s="373">
        <f t="shared" si="28"/>
        <v>3662.9646218039993</v>
      </c>
      <c r="AY26" s="371"/>
      <c r="BA26" s="358"/>
    </row>
    <row r="27" spans="1:53" s="233" customFormat="1" ht="30" hidden="1" customHeight="1" x14ac:dyDescent="0.45">
      <c r="A27" s="733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40"/>
        <v>7494.0299999999988</v>
      </c>
      <c r="G27" s="233">
        <v>278</v>
      </c>
      <c r="H27" s="353">
        <f t="shared" si="29"/>
        <v>3749.6247899999998</v>
      </c>
      <c r="I27" s="391">
        <v>0.18</v>
      </c>
      <c r="J27" s="362">
        <v>3000</v>
      </c>
      <c r="K27" s="361">
        <f t="shared" si="12"/>
        <v>2958.1437730859993</v>
      </c>
      <c r="L27" s="390"/>
      <c r="M27" s="390">
        <f t="shared" si="0"/>
        <v>3180.7997560064509</v>
      </c>
      <c r="N27" s="372">
        <f t="shared" si="13"/>
        <v>26.582323614</v>
      </c>
      <c r="O27" s="373">
        <f t="shared" si="14"/>
        <v>3749.6247899999998</v>
      </c>
      <c r="P27" s="378">
        <f t="shared" si="41"/>
        <v>562.44371849999993</v>
      </c>
      <c r="Q27" s="373">
        <f>H27-N27-P27</f>
        <v>3160.5987478859997</v>
      </c>
      <c r="R27" s="373">
        <f t="shared" si="15"/>
        <v>7499.2495799999997</v>
      </c>
      <c r="S27" s="378">
        <f>H27*0.15</f>
        <v>562.44371849999993</v>
      </c>
      <c r="T27" s="373">
        <f>H27-N27-S27</f>
        <v>3160.5987478859997</v>
      </c>
      <c r="U27" s="373">
        <f t="shared" si="1"/>
        <v>11248.87437</v>
      </c>
      <c r="V27" s="374">
        <f>(U27-10000)*0.2+(10000-R27)*0.15</f>
        <v>624.88743699999998</v>
      </c>
      <c r="W27" s="373">
        <f t="shared" si="16"/>
        <v>3098.155029386</v>
      </c>
      <c r="X27" s="373">
        <f t="shared" si="2"/>
        <v>14998.499159999999</v>
      </c>
      <c r="Y27" s="374">
        <f>H27*0.2</f>
        <v>749.92495800000006</v>
      </c>
      <c r="Z27" s="373">
        <f>H27-N27-Y27</f>
        <v>2973.1175083859998</v>
      </c>
      <c r="AA27" s="373">
        <f t="shared" si="4"/>
        <v>18748.123950000001</v>
      </c>
      <c r="AB27" s="374">
        <f>H27*0.2</f>
        <v>749.92495800000006</v>
      </c>
      <c r="AC27" s="373">
        <f t="shared" si="18"/>
        <v>2973.1175083859998</v>
      </c>
      <c r="AD27" s="373">
        <f t="shared" si="5"/>
        <v>22497.748739999999</v>
      </c>
      <c r="AE27" s="374">
        <f>H27*0.2</f>
        <v>749.92495800000006</v>
      </c>
      <c r="AF27" s="373">
        <f t="shared" si="20"/>
        <v>2973.1175083859998</v>
      </c>
      <c r="AG27" s="373">
        <f t="shared" si="6"/>
        <v>26247.373529999997</v>
      </c>
      <c r="AH27" s="376">
        <f>(AG27-25000)*0.27+(25000-AD27)*0.2</f>
        <v>837.24110509999946</v>
      </c>
      <c r="AI27" s="373">
        <f t="shared" si="21"/>
        <v>2885.8013612860004</v>
      </c>
      <c r="AJ27" s="373">
        <f t="shared" si="7"/>
        <v>29996.998319999999</v>
      </c>
      <c r="AK27" s="376">
        <f t="shared" si="37"/>
        <v>1012.3986933</v>
      </c>
      <c r="AL27" s="373">
        <f t="shared" si="22"/>
        <v>2710.6437730859998</v>
      </c>
      <c r="AM27" s="373">
        <f t="shared" si="8"/>
        <v>33746.62311</v>
      </c>
      <c r="AN27" s="376">
        <f t="shared" si="38"/>
        <v>1012.3986933</v>
      </c>
      <c r="AO27" s="373">
        <f t="shared" si="23"/>
        <v>2710.6437730859998</v>
      </c>
      <c r="AP27" s="373">
        <f t="shared" si="9"/>
        <v>37496.247900000002</v>
      </c>
      <c r="AQ27" s="376">
        <f>H27*0.27</f>
        <v>1012.3986933</v>
      </c>
      <c r="AR27" s="373">
        <f t="shared" si="25"/>
        <v>2710.6437730859998</v>
      </c>
      <c r="AS27" s="373">
        <f t="shared" si="10"/>
        <v>41245.872689999997</v>
      </c>
      <c r="AT27" s="376">
        <f>H27*0.27</f>
        <v>1012.3986933</v>
      </c>
      <c r="AU27" s="373">
        <f>H27-N27-AT27</f>
        <v>2710.6437730859998</v>
      </c>
      <c r="AV27" s="373">
        <f t="shared" si="11"/>
        <v>44995.497479999998</v>
      </c>
      <c r="AW27" s="376">
        <f t="shared" si="39"/>
        <v>1012.3986933</v>
      </c>
      <c r="AX27" s="373">
        <f t="shared" si="28"/>
        <v>2710.6437730859998</v>
      </c>
      <c r="AY27" s="371"/>
      <c r="BA27" s="358"/>
    </row>
    <row r="28" spans="1:53" s="233" customFormat="1" ht="28.5" hidden="1" x14ac:dyDescent="0.45">
      <c r="A28" s="754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29"/>
        <v>2223.6737480000002</v>
      </c>
      <c r="I28" s="391">
        <v>0.54</v>
      </c>
      <c r="J28" s="362">
        <v>1795</v>
      </c>
      <c r="K28" s="361">
        <f t="shared" si="12"/>
        <v>1854.2707893032</v>
      </c>
      <c r="L28" s="390"/>
      <c r="M28" s="390">
        <f t="shared" si="0"/>
        <v>1993.8395583905376</v>
      </c>
      <c r="N28" s="372">
        <f t="shared" si="13"/>
        <v>16.511046736800001</v>
      </c>
      <c r="O28" s="373">
        <f t="shared" si="14"/>
        <v>2223.6737480000002</v>
      </c>
      <c r="P28" s="378">
        <f t="shared" si="41"/>
        <v>333.55106219999999</v>
      </c>
      <c r="Q28" s="373">
        <f>H28-N28-P28</f>
        <v>1873.6116390632003</v>
      </c>
      <c r="R28" s="373">
        <f t="shared" si="15"/>
        <v>4447.3474960000003</v>
      </c>
      <c r="S28" s="378">
        <f>H28*0.15</f>
        <v>333.55106219999999</v>
      </c>
      <c r="T28" s="373">
        <f>H28-N28-S28</f>
        <v>1873.6116390632003</v>
      </c>
      <c r="U28" s="373">
        <f t="shared" si="1"/>
        <v>6671.0212440000005</v>
      </c>
      <c r="V28" s="378">
        <f>H28*0.15</f>
        <v>333.55106219999999</v>
      </c>
      <c r="W28" s="373">
        <f t="shared" si="16"/>
        <v>1873.6116390632003</v>
      </c>
      <c r="X28" s="373">
        <f t="shared" si="2"/>
        <v>8894.6949920000006</v>
      </c>
      <c r="Y28" s="378">
        <f>H28*0.15</f>
        <v>333.55106219999999</v>
      </c>
      <c r="Z28" s="373">
        <f>H28-N28-Y28</f>
        <v>1873.6116390632003</v>
      </c>
      <c r="AA28" s="373">
        <f t="shared" si="4"/>
        <v>11118.368740000002</v>
      </c>
      <c r="AB28" s="374">
        <f>(AA28-10000)*0.2+(10000-X28)*0.15</f>
        <v>389.46949920000026</v>
      </c>
      <c r="AC28" s="373">
        <f t="shared" si="18"/>
        <v>1817.6932020632</v>
      </c>
      <c r="AD28" s="373">
        <f t="shared" si="5"/>
        <v>13342.042488000001</v>
      </c>
      <c r="AE28" s="374">
        <f>H28*0.2</f>
        <v>444.73474960000004</v>
      </c>
      <c r="AF28" s="373">
        <f t="shared" si="20"/>
        <v>1762.4279516632002</v>
      </c>
      <c r="AG28" s="373">
        <f t="shared" si="6"/>
        <v>15565.716236</v>
      </c>
      <c r="AH28" s="374">
        <f>H28*0.2</f>
        <v>444.73474960000004</v>
      </c>
      <c r="AI28" s="373">
        <f t="shared" si="21"/>
        <v>1762.4279516632002</v>
      </c>
      <c r="AJ28" s="373">
        <f t="shared" si="7"/>
        <v>17789.389984000001</v>
      </c>
      <c r="AK28" s="374">
        <f>H28*0.2</f>
        <v>444.73474960000004</v>
      </c>
      <c r="AL28" s="373">
        <f t="shared" si="22"/>
        <v>1762.4279516632002</v>
      </c>
      <c r="AM28" s="373">
        <f t="shared" si="8"/>
        <v>20013.063732000002</v>
      </c>
      <c r="AN28" s="374">
        <f>H28*0.2</f>
        <v>444.73474960000004</v>
      </c>
      <c r="AO28" s="373">
        <f t="shared" si="23"/>
        <v>1762.4279516632002</v>
      </c>
      <c r="AP28" s="373">
        <f t="shared" si="9"/>
        <v>22236.737480000003</v>
      </c>
      <c r="AQ28" s="374">
        <f>H28*0.2</f>
        <v>444.73474960000004</v>
      </c>
      <c r="AR28" s="373">
        <f t="shared" si="25"/>
        <v>1762.4279516632002</v>
      </c>
      <c r="AS28" s="373">
        <f t="shared" si="10"/>
        <v>24460.411228000001</v>
      </c>
      <c r="AT28" s="374">
        <f>H28*0.2</f>
        <v>444.73474960000004</v>
      </c>
      <c r="AU28" s="373">
        <f>H28-N28-AT28</f>
        <v>1762.4279516632002</v>
      </c>
      <c r="AV28" s="373">
        <f t="shared" si="11"/>
        <v>26684.084976000002</v>
      </c>
      <c r="AW28" s="376">
        <f>(AV28-25000)*0.27+(25000-AS28)*0.2</f>
        <v>562.62069792000034</v>
      </c>
      <c r="AX28" s="373">
        <f t="shared" si="28"/>
        <v>1644.5420033431999</v>
      </c>
      <c r="AY28" s="371"/>
      <c r="BA28" s="358"/>
    </row>
    <row r="29" spans="1:53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0.94</v>
      </c>
      <c r="I29" s="363"/>
      <c r="J29" s="233"/>
      <c r="K29" s="361"/>
      <c r="L29" s="390"/>
      <c r="M29" s="390"/>
      <c r="N29" s="372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5"/>
      <c r="BA29" s="358"/>
    </row>
    <row r="30" spans="1:53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43">D30+E30</f>
        <v>24980.1</v>
      </c>
      <c r="G30" s="233">
        <v>359</v>
      </c>
      <c r="H30" s="353">
        <f>D30+E30*$H$29*$I30-G30</f>
        <v>16847.292879999997</v>
      </c>
      <c r="I30" s="363">
        <v>0.65</v>
      </c>
      <c r="J30" s="362">
        <v>11900</v>
      </c>
      <c r="K30" s="361">
        <f t="shared" si="12"/>
        <v>11671.345505658663</v>
      </c>
      <c r="L30" s="390">
        <v>11550.482589181869</v>
      </c>
      <c r="M30" s="390">
        <f>K30-L30</f>
        <v>120.86291647679354</v>
      </c>
      <c r="N30" s="372">
        <f t="shared" si="13"/>
        <v>113.56153300799998</v>
      </c>
      <c r="O30" s="373">
        <f t="shared" ref="O30:O54" si="44">$H30*O$4</f>
        <v>16847.292879999997</v>
      </c>
      <c r="P30" s="374">
        <f t="shared" ref="P30:P44" si="45">(O30-10000)*0.2+10000*0.15</f>
        <v>2869.4585759999995</v>
      </c>
      <c r="Q30" s="373">
        <f t="shared" ref="Q30:Q54" si="46">H30-N30-P30</f>
        <v>13864.272770991998</v>
      </c>
      <c r="R30" s="373">
        <f t="shared" ref="R30:R54" si="47">$H30*2</f>
        <v>33694.585759999994</v>
      </c>
      <c r="S30" s="376">
        <f>(R30-25000)*0.27+(25000-O30)*0.2</f>
        <v>3978.079579199999</v>
      </c>
      <c r="T30" s="373">
        <f t="shared" ref="T30:T54" si="48">H30-N30-S30</f>
        <v>12755.651767791998</v>
      </c>
      <c r="U30" s="373">
        <f t="shared" ref="U30:U54" si="49">H30*3</f>
        <v>50541.878639999995</v>
      </c>
      <c r="V30" s="376">
        <f t="shared" ref="V30:V34" si="50">O30*0.27</f>
        <v>4548.7690775999999</v>
      </c>
      <c r="W30" s="373">
        <f t="shared" ref="W30:W54" si="51">H30-N30-V30</f>
        <v>12184.962269391997</v>
      </c>
      <c r="X30" s="373">
        <f t="shared" ref="X30:X54" si="52">H30*4</f>
        <v>67389.171519999989</v>
      </c>
      <c r="Y30" s="376">
        <f t="shared" ref="Y30:Y48" si="53">H30*0.27</f>
        <v>4548.7690775999999</v>
      </c>
      <c r="Z30" s="373">
        <f t="shared" ref="Z30:Z54" si="54">H30-N30-Y30</f>
        <v>12184.962269391997</v>
      </c>
      <c r="AA30" s="373">
        <f t="shared" ref="AA30:AA54" si="55">H30*5</f>
        <v>84236.464399999983</v>
      </c>
      <c r="AB30" s="376">
        <f t="shared" ref="AB30:AB51" si="56">H30*0.27</f>
        <v>4548.7690775999999</v>
      </c>
      <c r="AC30" s="373">
        <f>H30-N30-AB30</f>
        <v>12184.962269391997</v>
      </c>
      <c r="AD30" s="373">
        <f t="shared" ref="AD30:AD54" si="57">H30*6</f>
        <v>101083.75727999999</v>
      </c>
      <c r="AE30" s="377">
        <f>(AD30-88000)*0.35+(88000-AA30)*0.27</f>
        <v>5595.4696600000016</v>
      </c>
      <c r="AF30" s="373">
        <f>H30-N30-AE30</f>
        <v>11138.261686991995</v>
      </c>
      <c r="AG30" s="373">
        <f t="shared" ref="AG30:AG54" si="58">H30*7</f>
        <v>117931.05015999998</v>
      </c>
      <c r="AH30" s="377">
        <f>H30*0.35</f>
        <v>5896.5525079999989</v>
      </c>
      <c r="AI30" s="373">
        <f t="shared" ref="AI30:AI54" si="59">H30-N30-AH30</f>
        <v>10837.178838991998</v>
      </c>
      <c r="AJ30" s="373">
        <f t="shared" ref="AJ30:AJ54" si="60">H30*8</f>
        <v>134778.34303999998</v>
      </c>
      <c r="AK30" s="377">
        <f>H30*0.35</f>
        <v>5896.5525079999989</v>
      </c>
      <c r="AL30" s="373">
        <f t="shared" ref="AL30:AL54" si="61">H30-N30-AK30</f>
        <v>10837.178838991998</v>
      </c>
      <c r="AM30" s="373">
        <f t="shared" ref="AM30:AM54" si="62">H30*9</f>
        <v>151625.63591999997</v>
      </c>
      <c r="AN30" s="377">
        <f>H30*0.35</f>
        <v>5896.5525079999989</v>
      </c>
      <c r="AO30" s="373">
        <f t="shared" ref="AO30:AO54" si="63">H30-N30-AN30</f>
        <v>10837.178838991998</v>
      </c>
      <c r="AP30" s="373">
        <f t="shared" ref="AP30:AP54" si="64">H30*10</f>
        <v>168472.92879999997</v>
      </c>
      <c r="AQ30" s="377">
        <f>H30*0.35</f>
        <v>5896.5525079999989</v>
      </c>
      <c r="AR30" s="373">
        <f>H30-N30-AQ30</f>
        <v>10837.178838991998</v>
      </c>
      <c r="AS30" s="373">
        <f t="shared" ref="AS30:AS54" si="65">H30*11</f>
        <v>185320.22167999996</v>
      </c>
      <c r="AT30" s="377">
        <f t="shared" ref="AT30:AT38" si="66">H30*0.35</f>
        <v>5896.5525079999989</v>
      </c>
      <c r="AU30" s="373">
        <f t="shared" ref="AU30:AU54" si="67">H30-N30-AT30</f>
        <v>10837.178838991998</v>
      </c>
      <c r="AV30" s="373">
        <f t="shared" ref="AV30:AV54" si="68">H30*12</f>
        <v>202167.51455999998</v>
      </c>
      <c r="AW30" s="377">
        <f t="shared" ref="AW30:AW38" si="69">H30*0.35</f>
        <v>5896.5525079999989</v>
      </c>
      <c r="AX30" s="373">
        <f t="shared" ref="AX30:AX54" si="70">H30-N30-AW30</f>
        <v>10837.178838991998</v>
      </c>
      <c r="AY30" s="292"/>
      <c r="BA30" s="358"/>
    </row>
    <row r="31" spans="1:53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43"/>
        <v>24980.1</v>
      </c>
      <c r="G31" s="233">
        <v>359</v>
      </c>
      <c r="H31" s="353">
        <f t="shared" ref="H31:H54" si="71">D31+E31*$H$29*$I31-G31</f>
        <v>16847.292879999997</v>
      </c>
      <c r="I31" s="363">
        <v>0.65</v>
      </c>
      <c r="J31" s="362">
        <v>8000</v>
      </c>
      <c r="K31" s="361">
        <f t="shared" si="12"/>
        <v>11671.345505658663</v>
      </c>
      <c r="L31" s="390">
        <v>7803.7321784010674</v>
      </c>
      <c r="M31" s="390">
        <f t="shared" ref="M31:M54" si="72">K31-L31</f>
        <v>3867.6133272575953</v>
      </c>
      <c r="N31" s="372">
        <f t="shared" si="13"/>
        <v>113.56153300799998</v>
      </c>
      <c r="O31" s="373">
        <f t="shared" si="44"/>
        <v>16847.292879999997</v>
      </c>
      <c r="P31" s="374">
        <f t="shared" si="45"/>
        <v>2869.4585759999995</v>
      </c>
      <c r="Q31" s="373">
        <f t="shared" si="46"/>
        <v>13864.272770991998</v>
      </c>
      <c r="R31" s="373">
        <f t="shared" si="47"/>
        <v>33694.585759999994</v>
      </c>
      <c r="S31" s="376">
        <f t="shared" ref="S31:S34" si="73">(R31-25000)*0.27+(25000-O31)*0.2</f>
        <v>3978.079579199999</v>
      </c>
      <c r="T31" s="373">
        <f t="shared" si="48"/>
        <v>12755.651767791998</v>
      </c>
      <c r="U31" s="373">
        <f t="shared" si="49"/>
        <v>50541.878639999995</v>
      </c>
      <c r="V31" s="376">
        <f t="shared" si="50"/>
        <v>4548.7690775999999</v>
      </c>
      <c r="W31" s="373">
        <f t="shared" si="51"/>
        <v>12184.962269391997</v>
      </c>
      <c r="X31" s="373">
        <f t="shared" si="52"/>
        <v>67389.171519999989</v>
      </c>
      <c r="Y31" s="376">
        <f t="shared" si="53"/>
        <v>4548.7690775999999</v>
      </c>
      <c r="Z31" s="373">
        <f t="shared" si="54"/>
        <v>12184.962269391997</v>
      </c>
      <c r="AA31" s="373">
        <f t="shared" si="55"/>
        <v>84236.464399999983</v>
      </c>
      <c r="AB31" s="376">
        <f t="shared" si="56"/>
        <v>4548.7690775999999</v>
      </c>
      <c r="AC31" s="373">
        <f t="shared" ref="AC31:AC54" si="74">H31-N31-AB31</f>
        <v>12184.962269391997</v>
      </c>
      <c r="AD31" s="373">
        <f t="shared" si="57"/>
        <v>101083.75727999999</v>
      </c>
      <c r="AE31" s="377">
        <f t="shared" ref="AE31:AE32" si="75">(AD31-88000)*0.35+(88000-AA31)*0.27</f>
        <v>5595.4696600000016</v>
      </c>
      <c r="AF31" s="373">
        <f t="shared" ref="AF31:AF54" si="76">H31-N31-AE31</f>
        <v>11138.261686991995</v>
      </c>
      <c r="AG31" s="373">
        <f t="shared" si="58"/>
        <v>117931.05015999998</v>
      </c>
      <c r="AH31" s="377">
        <f t="shared" ref="AH31:AH32" si="77">H31*0.35</f>
        <v>5896.5525079999989</v>
      </c>
      <c r="AI31" s="373">
        <f t="shared" si="59"/>
        <v>10837.178838991998</v>
      </c>
      <c r="AJ31" s="373">
        <f t="shared" si="60"/>
        <v>134778.34303999998</v>
      </c>
      <c r="AK31" s="377">
        <f t="shared" ref="AK31:AK32" si="78">H31*0.35</f>
        <v>5896.5525079999989</v>
      </c>
      <c r="AL31" s="373">
        <f t="shared" si="61"/>
        <v>10837.178838991998</v>
      </c>
      <c r="AM31" s="373">
        <f t="shared" si="62"/>
        <v>151625.63591999997</v>
      </c>
      <c r="AN31" s="377">
        <f t="shared" ref="AN31:AN34" si="79">H31*0.35</f>
        <v>5896.5525079999989</v>
      </c>
      <c r="AO31" s="373">
        <f t="shared" si="63"/>
        <v>10837.178838991998</v>
      </c>
      <c r="AP31" s="373">
        <f t="shared" si="64"/>
        <v>168472.92879999997</v>
      </c>
      <c r="AQ31" s="377">
        <f t="shared" ref="AQ31:AQ44" si="80">H31*0.35</f>
        <v>5896.5525079999989</v>
      </c>
      <c r="AR31" s="373">
        <f t="shared" ref="AR31:AR54" si="81">H31-N31-AQ31</f>
        <v>10837.178838991998</v>
      </c>
      <c r="AS31" s="373">
        <f t="shared" si="65"/>
        <v>185320.22167999996</v>
      </c>
      <c r="AT31" s="377">
        <f t="shared" si="66"/>
        <v>5896.5525079999989</v>
      </c>
      <c r="AU31" s="373">
        <f t="shared" si="67"/>
        <v>10837.178838991998</v>
      </c>
      <c r="AV31" s="373">
        <f t="shared" si="68"/>
        <v>202167.51455999998</v>
      </c>
      <c r="AW31" s="377">
        <f t="shared" si="69"/>
        <v>5896.5525079999989</v>
      </c>
      <c r="AX31" s="373">
        <f t="shared" si="70"/>
        <v>10837.178838991998</v>
      </c>
      <c r="AY31" s="292"/>
      <c r="BA31" s="358"/>
    </row>
    <row r="32" spans="1:53" ht="28.5" x14ac:dyDescent="0.45">
      <c r="A32" s="716"/>
      <c r="B32" s="461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71"/>
        <v>16847.292879999997</v>
      </c>
      <c r="I32" s="363">
        <v>0.65</v>
      </c>
      <c r="J32" s="362">
        <v>6844</v>
      </c>
      <c r="K32" s="361">
        <f t="shared" si="12"/>
        <v>11671.345505658663</v>
      </c>
      <c r="L32" s="390">
        <v>6836.8288465866681</v>
      </c>
      <c r="M32" s="390">
        <f t="shared" si="72"/>
        <v>4834.5166590719946</v>
      </c>
      <c r="N32" s="372">
        <f t="shared" si="13"/>
        <v>113.56153300799998</v>
      </c>
      <c r="O32" s="373">
        <f t="shared" si="44"/>
        <v>16847.292879999997</v>
      </c>
      <c r="P32" s="374">
        <f t="shared" si="45"/>
        <v>2869.4585759999995</v>
      </c>
      <c r="Q32" s="373">
        <f t="shared" si="46"/>
        <v>13864.272770991998</v>
      </c>
      <c r="R32" s="373">
        <f t="shared" si="47"/>
        <v>33694.585759999994</v>
      </c>
      <c r="S32" s="376">
        <f t="shared" si="73"/>
        <v>3978.079579199999</v>
      </c>
      <c r="T32" s="373">
        <f t="shared" si="48"/>
        <v>12755.651767791998</v>
      </c>
      <c r="U32" s="373">
        <f t="shared" si="49"/>
        <v>50541.878639999995</v>
      </c>
      <c r="V32" s="376">
        <f t="shared" si="50"/>
        <v>4548.7690775999999</v>
      </c>
      <c r="W32" s="373">
        <f t="shared" si="51"/>
        <v>12184.962269391997</v>
      </c>
      <c r="X32" s="373">
        <f t="shared" si="52"/>
        <v>67389.171519999989</v>
      </c>
      <c r="Y32" s="376">
        <f t="shared" si="53"/>
        <v>4548.7690775999999</v>
      </c>
      <c r="Z32" s="373">
        <f t="shared" si="54"/>
        <v>12184.962269391997</v>
      </c>
      <c r="AA32" s="373">
        <f t="shared" si="55"/>
        <v>84236.464399999983</v>
      </c>
      <c r="AB32" s="376">
        <f t="shared" si="56"/>
        <v>4548.7690775999999</v>
      </c>
      <c r="AC32" s="373">
        <f t="shared" si="74"/>
        <v>12184.962269391997</v>
      </c>
      <c r="AD32" s="373">
        <f t="shared" si="57"/>
        <v>101083.75727999999</v>
      </c>
      <c r="AE32" s="377">
        <f t="shared" si="75"/>
        <v>5595.4696600000016</v>
      </c>
      <c r="AF32" s="373">
        <f t="shared" si="76"/>
        <v>11138.261686991995</v>
      </c>
      <c r="AG32" s="373">
        <f t="shared" si="58"/>
        <v>117931.05015999998</v>
      </c>
      <c r="AH32" s="377">
        <f t="shared" si="77"/>
        <v>5896.5525079999989</v>
      </c>
      <c r="AI32" s="373">
        <f t="shared" si="59"/>
        <v>10837.178838991998</v>
      </c>
      <c r="AJ32" s="373">
        <f t="shared" si="60"/>
        <v>134778.34303999998</v>
      </c>
      <c r="AK32" s="377">
        <f t="shared" si="78"/>
        <v>5896.5525079999989</v>
      </c>
      <c r="AL32" s="373">
        <f t="shared" si="61"/>
        <v>10837.178838991998</v>
      </c>
      <c r="AM32" s="373">
        <f t="shared" si="62"/>
        <v>151625.63591999997</v>
      </c>
      <c r="AN32" s="377">
        <f t="shared" si="79"/>
        <v>5896.5525079999989</v>
      </c>
      <c r="AO32" s="373">
        <f t="shared" si="63"/>
        <v>10837.178838991998</v>
      </c>
      <c r="AP32" s="373">
        <f t="shared" si="64"/>
        <v>168472.92879999997</v>
      </c>
      <c r="AQ32" s="377">
        <f t="shared" si="80"/>
        <v>5896.5525079999989</v>
      </c>
      <c r="AR32" s="373">
        <f t="shared" si="81"/>
        <v>10837.178838991998</v>
      </c>
      <c r="AS32" s="373">
        <f t="shared" si="65"/>
        <v>185320.22167999996</v>
      </c>
      <c r="AT32" s="377">
        <f t="shared" si="66"/>
        <v>5896.5525079999989</v>
      </c>
      <c r="AU32" s="373">
        <f t="shared" si="67"/>
        <v>10837.178838991998</v>
      </c>
      <c r="AV32" s="373">
        <f t="shared" si="68"/>
        <v>202167.51455999998</v>
      </c>
      <c r="AW32" s="377">
        <f t="shared" si="69"/>
        <v>5896.5525079999989</v>
      </c>
      <c r="AX32" s="373">
        <f t="shared" si="70"/>
        <v>10837.178838991998</v>
      </c>
      <c r="AY32" s="292"/>
      <c r="BA32" s="358"/>
    </row>
    <row r="33" spans="1:53" ht="28.5" x14ac:dyDescent="0.45">
      <c r="A33" s="716"/>
      <c r="B33" s="347" t="s">
        <v>32</v>
      </c>
      <c r="C33" s="283">
        <v>450</v>
      </c>
      <c r="D33" s="238">
        <v>4996.0199999999995</v>
      </c>
      <c r="E33" s="238">
        <v>14988.06</v>
      </c>
      <c r="F33" s="238">
        <f t="shared" si="43"/>
        <v>19984.079999999998</v>
      </c>
      <c r="G33" s="233">
        <v>359</v>
      </c>
      <c r="H33" s="353">
        <f t="shared" si="71"/>
        <v>13794.72466</v>
      </c>
      <c r="I33" s="363">
        <v>0.65</v>
      </c>
      <c r="J33" s="362">
        <v>9500</v>
      </c>
      <c r="K33" s="361">
        <f t="shared" si="12"/>
        <v>9707.3231129106662</v>
      </c>
      <c r="L33" s="390">
        <v>9254.0871761226681</v>
      </c>
      <c r="M33" s="390">
        <f t="shared" si="72"/>
        <v>453.23593678799807</v>
      </c>
      <c r="N33" s="372">
        <f t="shared" si="13"/>
        <v>93.414582756000001</v>
      </c>
      <c r="O33" s="373">
        <f t="shared" si="44"/>
        <v>13794.72466</v>
      </c>
      <c r="P33" s="374">
        <f t="shared" si="45"/>
        <v>2258.9449319999999</v>
      </c>
      <c r="Q33" s="373">
        <f t="shared" si="46"/>
        <v>11442.365145243999</v>
      </c>
      <c r="R33" s="373">
        <f t="shared" si="47"/>
        <v>27589.44932</v>
      </c>
      <c r="S33" s="376">
        <f t="shared" si="73"/>
        <v>2940.2063843999999</v>
      </c>
      <c r="T33" s="373">
        <f t="shared" si="48"/>
        <v>10761.103692843999</v>
      </c>
      <c r="U33" s="373">
        <f t="shared" si="49"/>
        <v>41384.17398</v>
      </c>
      <c r="V33" s="376">
        <f t="shared" si="50"/>
        <v>3724.5756582000004</v>
      </c>
      <c r="W33" s="373">
        <f t="shared" si="51"/>
        <v>9976.7344190439981</v>
      </c>
      <c r="X33" s="373">
        <f t="shared" si="52"/>
        <v>55178.898639999999</v>
      </c>
      <c r="Y33" s="376">
        <f t="shared" si="53"/>
        <v>3724.5756582000004</v>
      </c>
      <c r="Z33" s="373">
        <f t="shared" si="54"/>
        <v>9976.7344190439981</v>
      </c>
      <c r="AA33" s="373">
        <f t="shared" si="55"/>
        <v>68973.623300000007</v>
      </c>
      <c r="AB33" s="376">
        <f t="shared" si="56"/>
        <v>3724.5756582000004</v>
      </c>
      <c r="AC33" s="373">
        <f t="shared" si="74"/>
        <v>9976.7344190439981</v>
      </c>
      <c r="AD33" s="373">
        <f t="shared" si="57"/>
        <v>82768.347959999999</v>
      </c>
      <c r="AE33" s="376">
        <f t="shared" ref="AE33:AE38" si="82">H33*0.27</f>
        <v>3724.5756582000004</v>
      </c>
      <c r="AF33" s="373">
        <f t="shared" si="76"/>
        <v>9976.7344190439981</v>
      </c>
      <c r="AG33" s="373">
        <f t="shared" si="58"/>
        <v>96563.072619999992</v>
      </c>
      <c r="AH33" s="377">
        <f>(AG33-88000)*0.35+(88000-AD33)*0.27</f>
        <v>4409.6214677999969</v>
      </c>
      <c r="AI33" s="373">
        <f t="shared" si="59"/>
        <v>9291.6886094440015</v>
      </c>
      <c r="AJ33" s="373">
        <f t="shared" si="60"/>
        <v>110357.79728</v>
      </c>
      <c r="AK33" s="377">
        <f>H33*0.35</f>
        <v>4828.1536309999992</v>
      </c>
      <c r="AL33" s="373">
        <f t="shared" si="61"/>
        <v>8873.1564462440001</v>
      </c>
      <c r="AM33" s="373">
        <f t="shared" si="62"/>
        <v>124152.52194000001</v>
      </c>
      <c r="AN33" s="377">
        <f t="shared" si="79"/>
        <v>4828.1536309999992</v>
      </c>
      <c r="AO33" s="373">
        <f t="shared" si="63"/>
        <v>8873.1564462440001</v>
      </c>
      <c r="AP33" s="373">
        <f t="shared" si="64"/>
        <v>137947.24660000001</v>
      </c>
      <c r="AQ33" s="377">
        <f t="shared" si="80"/>
        <v>4828.1536309999992</v>
      </c>
      <c r="AR33" s="373">
        <f t="shared" si="81"/>
        <v>8873.1564462440001</v>
      </c>
      <c r="AS33" s="373">
        <f t="shared" si="65"/>
        <v>151741.97125999999</v>
      </c>
      <c r="AT33" s="377">
        <f t="shared" si="66"/>
        <v>4828.1536309999992</v>
      </c>
      <c r="AU33" s="373">
        <f t="shared" si="67"/>
        <v>8873.1564462440001</v>
      </c>
      <c r="AV33" s="373">
        <f t="shared" si="68"/>
        <v>165536.69592</v>
      </c>
      <c r="AW33" s="377">
        <f t="shared" si="69"/>
        <v>4828.1536309999992</v>
      </c>
      <c r="AX33" s="373">
        <f t="shared" si="70"/>
        <v>8873.1564462440001</v>
      </c>
      <c r="AY33" s="292"/>
      <c r="BA33" s="358"/>
    </row>
    <row r="34" spans="1:53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43"/>
        <v>19984.079999999998</v>
      </c>
      <c r="G34" s="233">
        <v>359</v>
      </c>
      <c r="H34" s="353">
        <f t="shared" si="71"/>
        <v>13794.72466</v>
      </c>
      <c r="I34" s="363">
        <v>0.65</v>
      </c>
      <c r="J34" s="362">
        <v>8300</v>
      </c>
      <c r="K34" s="361">
        <f t="shared" si="12"/>
        <v>9707.3231129106662</v>
      </c>
      <c r="L34" s="390">
        <v>8166.3209278314671</v>
      </c>
      <c r="M34" s="390">
        <f t="shared" si="72"/>
        <v>1541.0021850791991</v>
      </c>
      <c r="N34" s="372">
        <f t="shared" si="13"/>
        <v>93.414582756000001</v>
      </c>
      <c r="O34" s="373">
        <f t="shared" si="44"/>
        <v>13794.72466</v>
      </c>
      <c r="P34" s="374">
        <f t="shared" si="45"/>
        <v>2258.9449319999999</v>
      </c>
      <c r="Q34" s="373">
        <f t="shared" si="46"/>
        <v>11442.365145243999</v>
      </c>
      <c r="R34" s="373">
        <f t="shared" si="47"/>
        <v>27589.44932</v>
      </c>
      <c r="S34" s="376">
        <f t="shared" si="73"/>
        <v>2940.2063843999999</v>
      </c>
      <c r="T34" s="373">
        <f t="shared" si="48"/>
        <v>10761.103692843999</v>
      </c>
      <c r="U34" s="373">
        <f t="shared" si="49"/>
        <v>41384.17398</v>
      </c>
      <c r="V34" s="376">
        <f t="shared" si="50"/>
        <v>3724.5756582000004</v>
      </c>
      <c r="W34" s="373">
        <f t="shared" si="51"/>
        <v>9976.7344190439981</v>
      </c>
      <c r="X34" s="373">
        <f t="shared" si="52"/>
        <v>55178.898639999999</v>
      </c>
      <c r="Y34" s="376">
        <f t="shared" si="53"/>
        <v>3724.5756582000004</v>
      </c>
      <c r="Z34" s="373">
        <f t="shared" si="54"/>
        <v>9976.7344190439981</v>
      </c>
      <c r="AA34" s="373">
        <f t="shared" si="55"/>
        <v>68973.623300000007</v>
      </c>
      <c r="AB34" s="376">
        <f t="shared" si="56"/>
        <v>3724.5756582000004</v>
      </c>
      <c r="AC34" s="373">
        <f t="shared" si="74"/>
        <v>9976.7344190439981</v>
      </c>
      <c r="AD34" s="373">
        <f t="shared" si="57"/>
        <v>82768.347959999999</v>
      </c>
      <c r="AE34" s="376">
        <f t="shared" si="82"/>
        <v>3724.5756582000004</v>
      </c>
      <c r="AF34" s="373">
        <f t="shared" si="76"/>
        <v>9976.7344190439981</v>
      </c>
      <c r="AG34" s="373">
        <f t="shared" si="58"/>
        <v>96563.072619999992</v>
      </c>
      <c r="AH34" s="377">
        <f>(AG34-88000)*0.35+(88000-AD34)*0.27</f>
        <v>4409.6214677999969</v>
      </c>
      <c r="AI34" s="373">
        <f t="shared" si="59"/>
        <v>9291.6886094440015</v>
      </c>
      <c r="AJ34" s="373">
        <f t="shared" si="60"/>
        <v>110357.79728</v>
      </c>
      <c r="AK34" s="377">
        <f>H34*0.35</f>
        <v>4828.1536309999992</v>
      </c>
      <c r="AL34" s="373">
        <f t="shared" si="61"/>
        <v>8873.1564462440001</v>
      </c>
      <c r="AM34" s="373">
        <f t="shared" si="62"/>
        <v>124152.52194000001</v>
      </c>
      <c r="AN34" s="377">
        <f t="shared" si="79"/>
        <v>4828.1536309999992</v>
      </c>
      <c r="AO34" s="373">
        <f t="shared" si="63"/>
        <v>8873.1564462440001</v>
      </c>
      <c r="AP34" s="373">
        <f t="shared" si="64"/>
        <v>137947.24660000001</v>
      </c>
      <c r="AQ34" s="377">
        <f t="shared" si="80"/>
        <v>4828.1536309999992</v>
      </c>
      <c r="AR34" s="373">
        <f t="shared" si="81"/>
        <v>8873.1564462440001</v>
      </c>
      <c r="AS34" s="373">
        <f t="shared" si="65"/>
        <v>151741.97125999999</v>
      </c>
      <c r="AT34" s="377">
        <f t="shared" si="66"/>
        <v>4828.1536309999992</v>
      </c>
      <c r="AU34" s="373">
        <f t="shared" si="67"/>
        <v>8873.1564462440001</v>
      </c>
      <c r="AV34" s="373">
        <f t="shared" si="68"/>
        <v>165536.69592</v>
      </c>
      <c r="AW34" s="377">
        <f t="shared" si="69"/>
        <v>4828.1536309999992</v>
      </c>
      <c r="AX34" s="373">
        <f t="shared" si="70"/>
        <v>8873.1564462440001</v>
      </c>
      <c r="AY34" s="292"/>
      <c r="BA34" s="358"/>
    </row>
    <row r="35" spans="1:53" ht="28.5" x14ac:dyDescent="0.45">
      <c r="A35" s="716"/>
      <c r="B35" s="461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43"/>
        <v>14988.059999999998</v>
      </c>
      <c r="G35" s="233">
        <v>359</v>
      </c>
      <c r="H35" s="353">
        <f t="shared" si="71"/>
        <v>10742.156439999999</v>
      </c>
      <c r="I35" s="363">
        <v>0.65</v>
      </c>
      <c r="J35" s="362">
        <v>7300</v>
      </c>
      <c r="K35" s="361">
        <f t="shared" si="12"/>
        <v>7740.2084016626677</v>
      </c>
      <c r="L35" s="390">
        <v>7138.9861377786683</v>
      </c>
      <c r="M35" s="390">
        <f t="shared" si="72"/>
        <v>601.2222638839994</v>
      </c>
      <c r="N35" s="372">
        <f t="shared" si="13"/>
        <v>73.267632503999991</v>
      </c>
      <c r="O35" s="373">
        <f t="shared" si="44"/>
        <v>10742.156439999999</v>
      </c>
      <c r="P35" s="374">
        <f t="shared" si="45"/>
        <v>1648.4312879999998</v>
      </c>
      <c r="Q35" s="373">
        <f t="shared" si="46"/>
        <v>9020.4575194959998</v>
      </c>
      <c r="R35" s="373">
        <f t="shared" si="47"/>
        <v>21484.312879999998</v>
      </c>
      <c r="S35" s="374">
        <f t="shared" ref="S35:S38" si="83">(R35-10000)*0.2+(10000-O35)*0.15</f>
        <v>2185.5391099999997</v>
      </c>
      <c r="T35" s="373">
        <f t="shared" si="48"/>
        <v>8483.3496974959999</v>
      </c>
      <c r="U35" s="373">
        <f t="shared" si="49"/>
        <v>32226.469319999997</v>
      </c>
      <c r="V35" s="376">
        <f>(U35-25000)*0.27+(25000-R35)*0.2</f>
        <v>2654.2841403999996</v>
      </c>
      <c r="W35" s="373">
        <f t="shared" si="51"/>
        <v>8014.6046670960004</v>
      </c>
      <c r="X35" s="373">
        <f t="shared" si="52"/>
        <v>42968.625759999995</v>
      </c>
      <c r="Y35" s="376">
        <f t="shared" si="53"/>
        <v>2900.3822387999999</v>
      </c>
      <c r="Z35" s="373">
        <f t="shared" si="54"/>
        <v>7768.5065686959997</v>
      </c>
      <c r="AA35" s="373">
        <f t="shared" si="55"/>
        <v>53710.782199999994</v>
      </c>
      <c r="AB35" s="376">
        <f t="shared" si="56"/>
        <v>2900.3822387999999</v>
      </c>
      <c r="AC35" s="373">
        <f t="shared" si="74"/>
        <v>7768.5065686959997</v>
      </c>
      <c r="AD35" s="373">
        <f t="shared" si="57"/>
        <v>64452.938639999993</v>
      </c>
      <c r="AE35" s="376">
        <f t="shared" si="82"/>
        <v>2900.3822387999999</v>
      </c>
      <c r="AF35" s="373">
        <f t="shared" si="76"/>
        <v>7768.5065686959997</v>
      </c>
      <c r="AG35" s="373">
        <f t="shared" si="58"/>
        <v>75195.095079999999</v>
      </c>
      <c r="AH35" s="376">
        <f>H35*0.27</f>
        <v>2900.3822387999999</v>
      </c>
      <c r="AI35" s="373">
        <f t="shared" si="59"/>
        <v>7768.5065686959997</v>
      </c>
      <c r="AJ35" s="373">
        <f t="shared" si="60"/>
        <v>85937.251519999991</v>
      </c>
      <c r="AK35" s="376">
        <f>H35*0.27</f>
        <v>2900.3822387999999</v>
      </c>
      <c r="AL35" s="373">
        <f t="shared" si="61"/>
        <v>7768.5065686959997</v>
      </c>
      <c r="AM35" s="373">
        <f t="shared" si="62"/>
        <v>96679.407959999982</v>
      </c>
      <c r="AN35" s="377">
        <f>(AM35-88000)*0.35+(88000-AJ35)*0.27</f>
        <v>3594.734875599996</v>
      </c>
      <c r="AO35" s="373">
        <f t="shared" si="63"/>
        <v>7074.153931896004</v>
      </c>
      <c r="AP35" s="373">
        <f t="shared" si="64"/>
        <v>107421.56439999999</v>
      </c>
      <c r="AQ35" s="377">
        <f t="shared" si="80"/>
        <v>3759.7547539999991</v>
      </c>
      <c r="AR35" s="373">
        <f t="shared" si="81"/>
        <v>6909.134053496</v>
      </c>
      <c r="AS35" s="373">
        <f t="shared" si="65"/>
        <v>118163.72083999999</v>
      </c>
      <c r="AT35" s="377">
        <f t="shared" si="66"/>
        <v>3759.7547539999991</v>
      </c>
      <c r="AU35" s="373">
        <f t="shared" si="67"/>
        <v>6909.134053496</v>
      </c>
      <c r="AV35" s="373">
        <f t="shared" si="68"/>
        <v>128905.87727999999</v>
      </c>
      <c r="AW35" s="377">
        <f t="shared" si="69"/>
        <v>3759.7547539999991</v>
      </c>
      <c r="AX35" s="373">
        <f t="shared" si="70"/>
        <v>6909.134053496</v>
      </c>
      <c r="AY35" s="292"/>
      <c r="BA35" s="358"/>
    </row>
    <row r="36" spans="1:53" ht="28.5" x14ac:dyDescent="0.45">
      <c r="A36" s="716"/>
      <c r="B36" s="461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43"/>
        <v>14988.059999999998</v>
      </c>
      <c r="G36" s="233">
        <v>359</v>
      </c>
      <c r="H36" s="353">
        <f t="shared" si="71"/>
        <v>10742.156439999999</v>
      </c>
      <c r="I36" s="363">
        <v>0.65</v>
      </c>
      <c r="J36" s="362">
        <v>7100</v>
      </c>
      <c r="K36" s="361">
        <f t="shared" si="12"/>
        <v>7740.2084016626677</v>
      </c>
      <c r="L36" s="390">
        <v>7138.9861377786683</v>
      </c>
      <c r="M36" s="390">
        <f t="shared" si="72"/>
        <v>601.2222638839994</v>
      </c>
      <c r="N36" s="372">
        <f t="shared" si="13"/>
        <v>73.267632503999991</v>
      </c>
      <c r="O36" s="373">
        <f t="shared" si="44"/>
        <v>10742.156439999999</v>
      </c>
      <c r="P36" s="374">
        <f t="shared" si="45"/>
        <v>1648.4312879999998</v>
      </c>
      <c r="Q36" s="373">
        <f t="shared" si="46"/>
        <v>9020.4575194959998</v>
      </c>
      <c r="R36" s="373">
        <f t="shared" si="47"/>
        <v>21484.312879999998</v>
      </c>
      <c r="S36" s="374">
        <f t="shared" si="83"/>
        <v>2185.5391099999997</v>
      </c>
      <c r="T36" s="373">
        <f t="shared" si="48"/>
        <v>8483.3496974959999</v>
      </c>
      <c r="U36" s="373">
        <f t="shared" si="49"/>
        <v>32226.469319999997</v>
      </c>
      <c r="V36" s="376">
        <f>(U36-25000)*0.27+(25000-R36)*0.2</f>
        <v>2654.2841403999996</v>
      </c>
      <c r="W36" s="373">
        <f t="shared" si="51"/>
        <v>8014.6046670960004</v>
      </c>
      <c r="X36" s="373">
        <f t="shared" si="52"/>
        <v>42968.625759999995</v>
      </c>
      <c r="Y36" s="376">
        <f t="shared" si="53"/>
        <v>2900.3822387999999</v>
      </c>
      <c r="Z36" s="373">
        <f t="shared" si="54"/>
        <v>7768.5065686959997</v>
      </c>
      <c r="AA36" s="373">
        <f t="shared" si="55"/>
        <v>53710.782199999994</v>
      </c>
      <c r="AB36" s="376">
        <f t="shared" si="56"/>
        <v>2900.3822387999999</v>
      </c>
      <c r="AC36" s="373">
        <f t="shared" si="74"/>
        <v>7768.5065686959997</v>
      </c>
      <c r="AD36" s="373">
        <f t="shared" si="57"/>
        <v>64452.938639999993</v>
      </c>
      <c r="AE36" s="376">
        <f t="shared" si="82"/>
        <v>2900.3822387999999</v>
      </c>
      <c r="AF36" s="373">
        <f t="shared" si="76"/>
        <v>7768.5065686959997</v>
      </c>
      <c r="AG36" s="373">
        <f t="shared" si="58"/>
        <v>75195.095079999999</v>
      </c>
      <c r="AH36" s="376">
        <f>H36*0.27</f>
        <v>2900.3822387999999</v>
      </c>
      <c r="AI36" s="373">
        <f t="shared" si="59"/>
        <v>7768.5065686959997</v>
      </c>
      <c r="AJ36" s="373">
        <f t="shared" si="60"/>
        <v>85937.251519999991</v>
      </c>
      <c r="AK36" s="376">
        <f>H36*0.27</f>
        <v>2900.3822387999999</v>
      </c>
      <c r="AL36" s="373">
        <f t="shared" si="61"/>
        <v>7768.5065686959997</v>
      </c>
      <c r="AM36" s="373">
        <f t="shared" si="62"/>
        <v>96679.407959999982</v>
      </c>
      <c r="AN36" s="377">
        <f t="shared" ref="AN36:AN38" si="84">(AM36-88000)*0.35+(88000-AJ36)*0.27</f>
        <v>3594.734875599996</v>
      </c>
      <c r="AO36" s="373">
        <f t="shared" si="63"/>
        <v>7074.153931896004</v>
      </c>
      <c r="AP36" s="373">
        <f t="shared" si="64"/>
        <v>107421.56439999999</v>
      </c>
      <c r="AQ36" s="377">
        <f t="shared" si="80"/>
        <v>3759.7547539999991</v>
      </c>
      <c r="AR36" s="373">
        <f t="shared" si="81"/>
        <v>6909.134053496</v>
      </c>
      <c r="AS36" s="373">
        <f t="shared" si="65"/>
        <v>118163.72083999999</v>
      </c>
      <c r="AT36" s="377">
        <f t="shared" si="66"/>
        <v>3759.7547539999991</v>
      </c>
      <c r="AU36" s="373">
        <f t="shared" si="67"/>
        <v>6909.134053496</v>
      </c>
      <c r="AV36" s="373">
        <f t="shared" si="68"/>
        <v>128905.87727999999</v>
      </c>
      <c r="AW36" s="377">
        <f t="shared" si="69"/>
        <v>3759.7547539999991</v>
      </c>
      <c r="AX36" s="373">
        <f t="shared" si="70"/>
        <v>6909.134053496</v>
      </c>
      <c r="AY36" s="292"/>
      <c r="BA36" s="358"/>
    </row>
    <row r="37" spans="1:53" ht="28.5" x14ac:dyDescent="0.45">
      <c r="A37" s="716"/>
      <c r="B37" s="461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43"/>
        <v>14988.059999999998</v>
      </c>
      <c r="G37" s="233">
        <v>359</v>
      </c>
      <c r="H37" s="353">
        <f t="shared" si="71"/>
        <v>10742.156439999999</v>
      </c>
      <c r="I37" s="363">
        <v>0.65</v>
      </c>
      <c r="J37" s="362">
        <v>6900</v>
      </c>
      <c r="K37" s="361">
        <f t="shared" si="12"/>
        <v>7740.2084016626677</v>
      </c>
      <c r="L37" s="390">
        <v>6836.8288465866681</v>
      </c>
      <c r="M37" s="390">
        <f t="shared" si="72"/>
        <v>903.37955507599963</v>
      </c>
      <c r="N37" s="372">
        <f t="shared" si="13"/>
        <v>73.267632503999991</v>
      </c>
      <c r="O37" s="373">
        <f t="shared" si="44"/>
        <v>10742.156439999999</v>
      </c>
      <c r="P37" s="374">
        <f t="shared" si="45"/>
        <v>1648.4312879999998</v>
      </c>
      <c r="Q37" s="373">
        <f t="shared" si="46"/>
        <v>9020.4575194959998</v>
      </c>
      <c r="R37" s="373">
        <f t="shared" si="47"/>
        <v>21484.312879999998</v>
      </c>
      <c r="S37" s="374">
        <f t="shared" si="83"/>
        <v>2185.5391099999997</v>
      </c>
      <c r="T37" s="373">
        <f t="shared" si="48"/>
        <v>8483.3496974959999</v>
      </c>
      <c r="U37" s="373">
        <f t="shared" si="49"/>
        <v>32226.469319999997</v>
      </c>
      <c r="V37" s="376">
        <f>(U37-25000)*0.27+(25000-R37)*0.2</f>
        <v>2654.2841403999996</v>
      </c>
      <c r="W37" s="373">
        <f t="shared" si="51"/>
        <v>8014.6046670960004</v>
      </c>
      <c r="X37" s="373">
        <f t="shared" si="52"/>
        <v>42968.625759999995</v>
      </c>
      <c r="Y37" s="376">
        <f t="shared" si="53"/>
        <v>2900.3822387999999</v>
      </c>
      <c r="Z37" s="373">
        <f t="shared" si="54"/>
        <v>7768.5065686959997</v>
      </c>
      <c r="AA37" s="373">
        <f t="shared" si="55"/>
        <v>53710.782199999994</v>
      </c>
      <c r="AB37" s="376">
        <f t="shared" si="56"/>
        <v>2900.3822387999999</v>
      </c>
      <c r="AC37" s="373">
        <f t="shared" si="74"/>
        <v>7768.5065686959997</v>
      </c>
      <c r="AD37" s="373">
        <f t="shared" si="57"/>
        <v>64452.938639999993</v>
      </c>
      <c r="AE37" s="376">
        <f t="shared" si="82"/>
        <v>2900.3822387999999</v>
      </c>
      <c r="AF37" s="373">
        <f t="shared" si="76"/>
        <v>7768.5065686959997</v>
      </c>
      <c r="AG37" s="373">
        <f t="shared" si="58"/>
        <v>75195.095079999999</v>
      </c>
      <c r="AH37" s="376">
        <f>H37*0.27</f>
        <v>2900.3822387999999</v>
      </c>
      <c r="AI37" s="373">
        <f t="shared" si="59"/>
        <v>7768.5065686959997</v>
      </c>
      <c r="AJ37" s="373">
        <f t="shared" si="60"/>
        <v>85937.251519999991</v>
      </c>
      <c r="AK37" s="376">
        <f>H37*0.27</f>
        <v>2900.3822387999999</v>
      </c>
      <c r="AL37" s="373">
        <f t="shared" si="61"/>
        <v>7768.5065686959997</v>
      </c>
      <c r="AM37" s="373">
        <f t="shared" si="62"/>
        <v>96679.407959999982</v>
      </c>
      <c r="AN37" s="377">
        <f t="shared" si="84"/>
        <v>3594.734875599996</v>
      </c>
      <c r="AO37" s="373">
        <f t="shared" si="63"/>
        <v>7074.153931896004</v>
      </c>
      <c r="AP37" s="373">
        <f t="shared" si="64"/>
        <v>107421.56439999999</v>
      </c>
      <c r="AQ37" s="377">
        <f t="shared" si="80"/>
        <v>3759.7547539999991</v>
      </c>
      <c r="AR37" s="373">
        <f t="shared" si="81"/>
        <v>6909.134053496</v>
      </c>
      <c r="AS37" s="373">
        <f t="shared" si="65"/>
        <v>118163.72083999999</v>
      </c>
      <c r="AT37" s="377">
        <f t="shared" si="66"/>
        <v>3759.7547539999991</v>
      </c>
      <c r="AU37" s="373">
        <f t="shared" si="67"/>
        <v>6909.134053496</v>
      </c>
      <c r="AV37" s="373">
        <f t="shared" si="68"/>
        <v>128905.87727999999</v>
      </c>
      <c r="AW37" s="377">
        <f t="shared" si="69"/>
        <v>3759.7547539999991</v>
      </c>
      <c r="AX37" s="373">
        <f t="shared" si="70"/>
        <v>6909.134053496</v>
      </c>
      <c r="AY37" s="292"/>
      <c r="BA37" s="358"/>
    </row>
    <row r="38" spans="1:53" ht="28.5" x14ac:dyDescent="0.45">
      <c r="A38" s="716"/>
      <c r="B38" s="392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43"/>
        <v>14988.059999999998</v>
      </c>
      <c r="G38" s="233">
        <v>359</v>
      </c>
      <c r="H38" s="353">
        <f t="shared" si="71"/>
        <v>10742.156439999999</v>
      </c>
      <c r="I38" s="363">
        <v>0.65</v>
      </c>
      <c r="J38" s="362">
        <v>4900</v>
      </c>
      <c r="K38" s="361">
        <f t="shared" si="12"/>
        <v>7740.2084016626677</v>
      </c>
      <c r="L38" s="390">
        <v>4890.514842049598</v>
      </c>
      <c r="M38" s="390">
        <f t="shared" si="72"/>
        <v>2849.6935596130697</v>
      </c>
      <c r="N38" s="372">
        <f t="shared" si="13"/>
        <v>73.267632503999991</v>
      </c>
      <c r="O38" s="373">
        <f t="shared" si="44"/>
        <v>10742.156439999999</v>
      </c>
      <c r="P38" s="374">
        <f t="shared" si="45"/>
        <v>1648.4312879999998</v>
      </c>
      <c r="Q38" s="373">
        <f t="shared" si="46"/>
        <v>9020.4575194959998</v>
      </c>
      <c r="R38" s="373">
        <f t="shared" si="47"/>
        <v>21484.312879999998</v>
      </c>
      <c r="S38" s="374">
        <f t="shared" si="83"/>
        <v>2185.5391099999997</v>
      </c>
      <c r="T38" s="373">
        <f t="shared" si="48"/>
        <v>8483.3496974959999</v>
      </c>
      <c r="U38" s="373">
        <f t="shared" si="49"/>
        <v>32226.469319999997</v>
      </c>
      <c r="V38" s="376">
        <f>(U38-25000)*0.27+(25000-R38)*0.2</f>
        <v>2654.2841403999996</v>
      </c>
      <c r="W38" s="373">
        <f t="shared" si="51"/>
        <v>8014.6046670960004</v>
      </c>
      <c r="X38" s="373">
        <f t="shared" si="52"/>
        <v>42968.625759999995</v>
      </c>
      <c r="Y38" s="376">
        <f t="shared" si="53"/>
        <v>2900.3822387999999</v>
      </c>
      <c r="Z38" s="373">
        <f t="shared" si="54"/>
        <v>7768.5065686959997</v>
      </c>
      <c r="AA38" s="373">
        <f t="shared" si="55"/>
        <v>53710.782199999994</v>
      </c>
      <c r="AB38" s="376">
        <f t="shared" si="56"/>
        <v>2900.3822387999999</v>
      </c>
      <c r="AC38" s="373">
        <f t="shared" si="74"/>
        <v>7768.5065686959997</v>
      </c>
      <c r="AD38" s="373">
        <f t="shared" si="57"/>
        <v>64452.938639999993</v>
      </c>
      <c r="AE38" s="376">
        <f t="shared" si="82"/>
        <v>2900.3822387999999</v>
      </c>
      <c r="AF38" s="373">
        <f t="shared" si="76"/>
        <v>7768.5065686959997</v>
      </c>
      <c r="AG38" s="373">
        <f t="shared" si="58"/>
        <v>75195.095079999999</v>
      </c>
      <c r="AH38" s="376">
        <f>H38*0.27</f>
        <v>2900.3822387999999</v>
      </c>
      <c r="AI38" s="373">
        <f t="shared" si="59"/>
        <v>7768.5065686959997</v>
      </c>
      <c r="AJ38" s="373">
        <f t="shared" si="60"/>
        <v>85937.251519999991</v>
      </c>
      <c r="AK38" s="376">
        <f>H38*0.27</f>
        <v>2900.3822387999999</v>
      </c>
      <c r="AL38" s="373">
        <f t="shared" si="61"/>
        <v>7768.5065686959997</v>
      </c>
      <c r="AM38" s="373">
        <f t="shared" si="62"/>
        <v>96679.407959999982</v>
      </c>
      <c r="AN38" s="377">
        <f t="shared" si="84"/>
        <v>3594.734875599996</v>
      </c>
      <c r="AO38" s="373">
        <f t="shared" si="63"/>
        <v>7074.153931896004</v>
      </c>
      <c r="AP38" s="373">
        <f t="shared" si="64"/>
        <v>107421.56439999999</v>
      </c>
      <c r="AQ38" s="377">
        <f t="shared" si="80"/>
        <v>3759.7547539999991</v>
      </c>
      <c r="AR38" s="373">
        <f t="shared" si="81"/>
        <v>6909.134053496</v>
      </c>
      <c r="AS38" s="373">
        <f t="shared" si="65"/>
        <v>118163.72083999999</v>
      </c>
      <c r="AT38" s="377">
        <f t="shared" si="66"/>
        <v>3759.7547539999991</v>
      </c>
      <c r="AU38" s="373">
        <f t="shared" si="67"/>
        <v>6909.134053496</v>
      </c>
      <c r="AV38" s="373">
        <f t="shared" si="68"/>
        <v>128905.87727999999</v>
      </c>
      <c r="AW38" s="377">
        <f t="shared" si="69"/>
        <v>3759.7547539999991</v>
      </c>
      <c r="AX38" s="373">
        <f t="shared" si="70"/>
        <v>6909.134053496</v>
      </c>
      <c r="AY38" s="292"/>
      <c r="BA38" s="358"/>
    </row>
    <row r="39" spans="1:53" ht="28.5" x14ac:dyDescent="0.45">
      <c r="A39" s="716" t="s">
        <v>29</v>
      </c>
      <c r="B39" s="461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43"/>
        <v>24980.1</v>
      </c>
      <c r="G39" s="233">
        <v>359</v>
      </c>
      <c r="H39" s="353">
        <f t="shared" si="71"/>
        <v>16847.292879999997</v>
      </c>
      <c r="I39" s="363">
        <v>0.65</v>
      </c>
      <c r="J39" s="362">
        <v>11600</v>
      </c>
      <c r="K39" s="361">
        <f t="shared" si="12"/>
        <v>11671.345505658663</v>
      </c>
      <c r="L39" s="390">
        <v>11308.756756228262</v>
      </c>
      <c r="M39" s="390">
        <f t="shared" si="72"/>
        <v>362.58874943040064</v>
      </c>
      <c r="N39" s="372">
        <f t="shared" si="13"/>
        <v>113.56153300799998</v>
      </c>
      <c r="O39" s="373">
        <f t="shared" si="44"/>
        <v>16847.292879999997</v>
      </c>
      <c r="P39" s="374">
        <f t="shared" si="45"/>
        <v>2869.4585759999995</v>
      </c>
      <c r="Q39" s="373">
        <f t="shared" si="46"/>
        <v>13864.272770991998</v>
      </c>
      <c r="R39" s="373">
        <f t="shared" si="47"/>
        <v>33694.585759999994</v>
      </c>
      <c r="S39" s="376">
        <f>(R39-25000)*0.27+(25000-O39)*0.2</f>
        <v>3978.079579199999</v>
      </c>
      <c r="T39" s="373">
        <f t="shared" si="48"/>
        <v>12755.651767791998</v>
      </c>
      <c r="U39" s="373">
        <f t="shared" si="49"/>
        <v>50541.878639999995</v>
      </c>
      <c r="V39" s="376">
        <f t="shared" ref="V39" si="85">O39*0.27</f>
        <v>4548.7690775999999</v>
      </c>
      <c r="W39" s="373">
        <f t="shared" si="51"/>
        <v>12184.962269391997</v>
      </c>
      <c r="X39" s="373">
        <f t="shared" si="52"/>
        <v>67389.171519999989</v>
      </c>
      <c r="Y39" s="376">
        <f t="shared" si="53"/>
        <v>4548.7690775999999</v>
      </c>
      <c r="Z39" s="373">
        <f t="shared" si="54"/>
        <v>12184.962269391997</v>
      </c>
      <c r="AA39" s="373">
        <f t="shared" si="55"/>
        <v>84236.464399999983</v>
      </c>
      <c r="AB39" s="376">
        <f t="shared" si="56"/>
        <v>4548.7690775999999</v>
      </c>
      <c r="AC39" s="373">
        <f t="shared" si="74"/>
        <v>12184.962269391997</v>
      </c>
      <c r="AD39" s="373">
        <f t="shared" si="57"/>
        <v>101083.75727999999</v>
      </c>
      <c r="AE39" s="377">
        <f>(AD39-88000)*0.35+(88000-AA39)*0.27</f>
        <v>5595.4696600000016</v>
      </c>
      <c r="AF39" s="373">
        <f t="shared" si="76"/>
        <v>11138.261686991995</v>
      </c>
      <c r="AG39" s="373">
        <f t="shared" si="58"/>
        <v>117931.05015999998</v>
      </c>
      <c r="AH39" s="377">
        <f>H39*0.35</f>
        <v>5896.5525079999989</v>
      </c>
      <c r="AI39" s="373">
        <f t="shared" si="59"/>
        <v>10837.178838991998</v>
      </c>
      <c r="AJ39" s="373">
        <f t="shared" si="60"/>
        <v>134778.34303999998</v>
      </c>
      <c r="AK39" s="377">
        <f>H39*0.35</f>
        <v>5896.5525079999989</v>
      </c>
      <c r="AL39" s="373">
        <f t="shared" si="61"/>
        <v>10837.178838991998</v>
      </c>
      <c r="AM39" s="373">
        <f t="shared" si="62"/>
        <v>151625.63591999997</v>
      </c>
      <c r="AN39" s="377">
        <f>H39*0.35</f>
        <v>5896.5525079999989</v>
      </c>
      <c r="AO39" s="373">
        <f t="shared" si="63"/>
        <v>10837.178838991998</v>
      </c>
      <c r="AP39" s="373">
        <f t="shared" si="64"/>
        <v>168472.92879999997</v>
      </c>
      <c r="AQ39" s="377">
        <f t="shared" si="80"/>
        <v>5896.5525079999989</v>
      </c>
      <c r="AR39" s="373">
        <f t="shared" si="81"/>
        <v>10837.178838991998</v>
      </c>
      <c r="AS39" s="373">
        <f t="shared" si="65"/>
        <v>185320.22167999996</v>
      </c>
      <c r="AT39" s="377">
        <f t="shared" ref="AT39:AT44" si="86">H39*0.35</f>
        <v>5896.5525079999989</v>
      </c>
      <c r="AU39" s="373">
        <f t="shared" si="67"/>
        <v>10837.178838991998</v>
      </c>
      <c r="AV39" s="373">
        <f t="shared" si="68"/>
        <v>202167.51455999998</v>
      </c>
      <c r="AW39" s="377">
        <f t="shared" ref="AW39:AW46" si="87">H39*0.35</f>
        <v>5896.5525079999989</v>
      </c>
      <c r="AX39" s="373">
        <f t="shared" si="70"/>
        <v>10837.178838991998</v>
      </c>
      <c r="AY39" s="292"/>
      <c r="BA39" s="358"/>
    </row>
    <row r="40" spans="1:53" ht="28.5" x14ac:dyDescent="0.45">
      <c r="A40" s="716"/>
      <c r="B40" s="461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43"/>
        <v>24980.1</v>
      </c>
      <c r="G40" s="233">
        <v>359</v>
      </c>
      <c r="H40" s="353">
        <f t="shared" si="71"/>
        <v>16847.292879999997</v>
      </c>
      <c r="I40" s="363">
        <v>0.65</v>
      </c>
      <c r="J40" s="362">
        <v>7900</v>
      </c>
      <c r="K40" s="361">
        <f t="shared" si="12"/>
        <v>11620.627088725329</v>
      </c>
      <c r="L40" s="390">
        <v>7803.7321784010674</v>
      </c>
      <c r="M40" s="390">
        <f t="shared" si="72"/>
        <v>3816.8949103242612</v>
      </c>
      <c r="N40" s="372">
        <f t="shared" si="13"/>
        <v>113.56153300799998</v>
      </c>
      <c r="O40" s="373">
        <f t="shared" si="44"/>
        <v>16847.292879999997</v>
      </c>
      <c r="P40" s="374">
        <f t="shared" si="45"/>
        <v>2869.4585759999995</v>
      </c>
      <c r="Q40" s="373">
        <f t="shared" si="46"/>
        <v>13864.272770991998</v>
      </c>
      <c r="R40" s="373">
        <f t="shared" si="47"/>
        <v>33694.585759999994</v>
      </c>
      <c r="S40" s="376">
        <f t="shared" ref="S40:S44" si="88">(R40-25000)*0.27+(25000-O40)*0.2</f>
        <v>3978.079579199999</v>
      </c>
      <c r="T40" s="373">
        <f t="shared" si="48"/>
        <v>12755.651767791998</v>
      </c>
      <c r="U40" s="373">
        <f t="shared" si="49"/>
        <v>50541.878639999995</v>
      </c>
      <c r="V40" s="376">
        <f t="shared" ref="V40:V46" si="89">(U40-25000)*0.27+(25000-R40)*0.2</f>
        <v>5157.3900807999999</v>
      </c>
      <c r="W40" s="373">
        <f t="shared" si="51"/>
        <v>11576.341266191997</v>
      </c>
      <c r="X40" s="373">
        <f t="shared" si="52"/>
        <v>67389.171519999989</v>
      </c>
      <c r="Y40" s="376">
        <f t="shared" si="53"/>
        <v>4548.7690775999999</v>
      </c>
      <c r="Z40" s="373">
        <f t="shared" si="54"/>
        <v>12184.962269391997</v>
      </c>
      <c r="AA40" s="373">
        <f t="shared" si="55"/>
        <v>84236.464399999983</v>
      </c>
      <c r="AB40" s="376">
        <f t="shared" si="56"/>
        <v>4548.7690775999999</v>
      </c>
      <c r="AC40" s="373">
        <f t="shared" si="74"/>
        <v>12184.962269391997</v>
      </c>
      <c r="AD40" s="373">
        <f t="shared" si="57"/>
        <v>101083.75727999999</v>
      </c>
      <c r="AE40" s="377">
        <f>(AD40-88000)*0.35+(88000-AA40)*0.27</f>
        <v>5595.4696600000016</v>
      </c>
      <c r="AF40" s="373">
        <f t="shared" si="76"/>
        <v>11138.261686991995</v>
      </c>
      <c r="AG40" s="373">
        <f t="shared" si="58"/>
        <v>117931.05015999998</v>
      </c>
      <c r="AH40" s="377">
        <f>H40*0.35</f>
        <v>5896.5525079999989</v>
      </c>
      <c r="AI40" s="373">
        <f t="shared" si="59"/>
        <v>10837.178838991998</v>
      </c>
      <c r="AJ40" s="373">
        <f t="shared" si="60"/>
        <v>134778.34303999998</v>
      </c>
      <c r="AK40" s="377">
        <f>H40*0.35</f>
        <v>5896.5525079999989</v>
      </c>
      <c r="AL40" s="373">
        <f t="shared" si="61"/>
        <v>10837.178838991998</v>
      </c>
      <c r="AM40" s="373">
        <f t="shared" si="62"/>
        <v>151625.63591999997</v>
      </c>
      <c r="AN40" s="377">
        <f t="shared" ref="AN40:AN44" si="90">H40*0.35</f>
        <v>5896.5525079999989</v>
      </c>
      <c r="AO40" s="373">
        <f t="shared" si="63"/>
        <v>10837.178838991998</v>
      </c>
      <c r="AP40" s="373">
        <f t="shared" si="64"/>
        <v>168472.92879999997</v>
      </c>
      <c r="AQ40" s="377">
        <f t="shared" si="80"/>
        <v>5896.5525079999989</v>
      </c>
      <c r="AR40" s="373">
        <f t="shared" si="81"/>
        <v>10837.178838991998</v>
      </c>
      <c r="AS40" s="373">
        <f t="shared" si="65"/>
        <v>185320.22167999996</v>
      </c>
      <c r="AT40" s="377">
        <f t="shared" si="86"/>
        <v>5896.5525079999989</v>
      </c>
      <c r="AU40" s="373">
        <f t="shared" si="67"/>
        <v>10837.178838991998</v>
      </c>
      <c r="AV40" s="373">
        <f t="shared" si="68"/>
        <v>202167.51455999998</v>
      </c>
      <c r="AW40" s="377">
        <f t="shared" si="87"/>
        <v>5896.5525079999989</v>
      </c>
      <c r="AX40" s="373">
        <f t="shared" si="70"/>
        <v>10837.178838991998</v>
      </c>
      <c r="AY40" s="292"/>
      <c r="BA40" s="358"/>
    </row>
    <row r="41" spans="1:53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43"/>
        <v>19984.079999999998</v>
      </c>
      <c r="G41" s="233">
        <v>359</v>
      </c>
      <c r="H41" s="353">
        <f t="shared" si="71"/>
        <v>13794.72466</v>
      </c>
      <c r="I41" s="363">
        <v>0.65</v>
      </c>
      <c r="J41" s="362">
        <v>9000</v>
      </c>
      <c r="K41" s="361">
        <f t="shared" si="12"/>
        <v>9692.2179918773327</v>
      </c>
      <c r="L41" s="390">
        <v>8800.8512393346664</v>
      </c>
      <c r="M41" s="390">
        <f t="shared" si="72"/>
        <v>891.36675254266629</v>
      </c>
      <c r="N41" s="372">
        <f t="shared" si="13"/>
        <v>93.414582756000001</v>
      </c>
      <c r="O41" s="373">
        <f t="shared" si="44"/>
        <v>13794.72466</v>
      </c>
      <c r="P41" s="374">
        <f t="shared" si="45"/>
        <v>2258.9449319999999</v>
      </c>
      <c r="Q41" s="373">
        <f t="shared" si="46"/>
        <v>11442.365145243999</v>
      </c>
      <c r="R41" s="373">
        <f t="shared" si="47"/>
        <v>27589.44932</v>
      </c>
      <c r="S41" s="376">
        <f t="shared" si="88"/>
        <v>2940.2063843999999</v>
      </c>
      <c r="T41" s="373">
        <f t="shared" si="48"/>
        <v>10761.103692843999</v>
      </c>
      <c r="U41" s="373">
        <f t="shared" si="49"/>
        <v>41384.17398</v>
      </c>
      <c r="V41" s="376">
        <f t="shared" si="89"/>
        <v>3905.8371106000004</v>
      </c>
      <c r="W41" s="373">
        <f t="shared" si="51"/>
        <v>9795.4729666439998</v>
      </c>
      <c r="X41" s="373">
        <f t="shared" si="52"/>
        <v>55178.898639999999</v>
      </c>
      <c r="Y41" s="376">
        <f t="shared" si="53"/>
        <v>3724.5756582000004</v>
      </c>
      <c r="Z41" s="373">
        <f t="shared" si="54"/>
        <v>9976.7344190439981</v>
      </c>
      <c r="AA41" s="373">
        <f t="shared" si="55"/>
        <v>68973.623300000007</v>
      </c>
      <c r="AB41" s="376">
        <f t="shared" si="56"/>
        <v>3724.5756582000004</v>
      </c>
      <c r="AC41" s="373">
        <f t="shared" si="74"/>
        <v>9976.7344190439981</v>
      </c>
      <c r="AD41" s="373">
        <f t="shared" si="57"/>
        <v>82768.347959999999</v>
      </c>
      <c r="AE41" s="376">
        <f t="shared" ref="AE41:AE51" si="91">H41*0.27</f>
        <v>3724.5756582000004</v>
      </c>
      <c r="AF41" s="373">
        <f t="shared" si="76"/>
        <v>9976.7344190439981</v>
      </c>
      <c r="AG41" s="373">
        <f t="shared" si="58"/>
        <v>96563.072619999992</v>
      </c>
      <c r="AH41" s="377">
        <f t="shared" ref="AH41:AH44" si="92">(AG41-88000)*0.35+(88000-AD41)*0.27</f>
        <v>4409.6214677999969</v>
      </c>
      <c r="AI41" s="373">
        <f t="shared" si="59"/>
        <v>9291.6886094440015</v>
      </c>
      <c r="AJ41" s="373">
        <f t="shared" si="60"/>
        <v>110357.79728</v>
      </c>
      <c r="AK41" s="377">
        <f>H41*0.35</f>
        <v>4828.1536309999992</v>
      </c>
      <c r="AL41" s="373">
        <f t="shared" si="61"/>
        <v>8873.1564462440001</v>
      </c>
      <c r="AM41" s="373">
        <f t="shared" si="62"/>
        <v>124152.52194000001</v>
      </c>
      <c r="AN41" s="377">
        <f t="shared" si="90"/>
        <v>4828.1536309999992</v>
      </c>
      <c r="AO41" s="373">
        <f t="shared" si="63"/>
        <v>8873.1564462440001</v>
      </c>
      <c r="AP41" s="373">
        <f t="shared" si="64"/>
        <v>137947.24660000001</v>
      </c>
      <c r="AQ41" s="377">
        <f t="shared" si="80"/>
        <v>4828.1536309999992</v>
      </c>
      <c r="AR41" s="373">
        <f t="shared" si="81"/>
        <v>8873.1564462440001</v>
      </c>
      <c r="AS41" s="373">
        <f t="shared" si="65"/>
        <v>151741.97125999999</v>
      </c>
      <c r="AT41" s="377">
        <f t="shared" si="86"/>
        <v>4828.1536309999992</v>
      </c>
      <c r="AU41" s="373">
        <f t="shared" si="67"/>
        <v>8873.1564462440001</v>
      </c>
      <c r="AV41" s="373">
        <f t="shared" si="68"/>
        <v>165536.69592</v>
      </c>
      <c r="AW41" s="377">
        <f t="shared" si="87"/>
        <v>4828.1536309999992</v>
      </c>
      <c r="AX41" s="373">
        <f t="shared" si="70"/>
        <v>8873.1564462440001</v>
      </c>
      <c r="AY41" s="292"/>
      <c r="BA41" s="358"/>
    </row>
    <row r="42" spans="1:53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43"/>
        <v>19984.079999999998</v>
      </c>
      <c r="G42" s="233">
        <v>359</v>
      </c>
      <c r="H42" s="353">
        <f t="shared" si="71"/>
        <v>13794.72466</v>
      </c>
      <c r="I42" s="363">
        <v>0.65</v>
      </c>
      <c r="J42" s="362">
        <v>8000</v>
      </c>
      <c r="K42" s="361">
        <f t="shared" si="12"/>
        <v>9692.2179918773327</v>
      </c>
      <c r="L42" s="390">
        <v>7803.7321784010674</v>
      </c>
      <c r="M42" s="390">
        <f t="shared" si="72"/>
        <v>1888.4858134762653</v>
      </c>
      <c r="N42" s="372">
        <f t="shared" si="13"/>
        <v>93.414582756000001</v>
      </c>
      <c r="O42" s="373">
        <f t="shared" si="44"/>
        <v>13794.72466</v>
      </c>
      <c r="P42" s="374">
        <f t="shared" si="45"/>
        <v>2258.9449319999999</v>
      </c>
      <c r="Q42" s="373">
        <f t="shared" si="46"/>
        <v>11442.365145243999</v>
      </c>
      <c r="R42" s="373">
        <f t="shared" si="47"/>
        <v>27589.44932</v>
      </c>
      <c r="S42" s="376">
        <f t="shared" si="88"/>
        <v>2940.2063843999999</v>
      </c>
      <c r="T42" s="373">
        <f t="shared" si="48"/>
        <v>10761.103692843999</v>
      </c>
      <c r="U42" s="373">
        <f t="shared" si="49"/>
        <v>41384.17398</v>
      </c>
      <c r="V42" s="376">
        <f t="shared" si="89"/>
        <v>3905.8371106000004</v>
      </c>
      <c r="W42" s="373">
        <f t="shared" si="51"/>
        <v>9795.4729666439998</v>
      </c>
      <c r="X42" s="373">
        <f t="shared" si="52"/>
        <v>55178.898639999999</v>
      </c>
      <c r="Y42" s="376">
        <f t="shared" si="53"/>
        <v>3724.5756582000004</v>
      </c>
      <c r="Z42" s="373">
        <f t="shared" si="54"/>
        <v>9976.7344190439981</v>
      </c>
      <c r="AA42" s="373">
        <f t="shared" si="55"/>
        <v>68973.623300000007</v>
      </c>
      <c r="AB42" s="376">
        <f t="shared" si="56"/>
        <v>3724.5756582000004</v>
      </c>
      <c r="AC42" s="373">
        <f t="shared" si="74"/>
        <v>9976.7344190439981</v>
      </c>
      <c r="AD42" s="373">
        <f t="shared" si="57"/>
        <v>82768.347959999999</v>
      </c>
      <c r="AE42" s="376">
        <f t="shared" si="91"/>
        <v>3724.5756582000004</v>
      </c>
      <c r="AF42" s="373">
        <f t="shared" si="76"/>
        <v>9976.7344190439981</v>
      </c>
      <c r="AG42" s="373">
        <f t="shared" si="58"/>
        <v>96563.072619999992</v>
      </c>
      <c r="AH42" s="377">
        <f t="shared" si="92"/>
        <v>4409.6214677999969</v>
      </c>
      <c r="AI42" s="373">
        <f t="shared" si="59"/>
        <v>9291.6886094440015</v>
      </c>
      <c r="AJ42" s="373">
        <f t="shared" si="60"/>
        <v>110357.79728</v>
      </c>
      <c r="AK42" s="377">
        <f t="shared" ref="AK42:AK44" si="93">H42*0.35</f>
        <v>4828.1536309999992</v>
      </c>
      <c r="AL42" s="373">
        <f t="shared" si="61"/>
        <v>8873.1564462440001</v>
      </c>
      <c r="AM42" s="373">
        <f t="shared" si="62"/>
        <v>124152.52194000001</v>
      </c>
      <c r="AN42" s="377">
        <f t="shared" si="90"/>
        <v>4828.1536309999992</v>
      </c>
      <c r="AO42" s="373">
        <f t="shared" si="63"/>
        <v>8873.1564462440001</v>
      </c>
      <c r="AP42" s="373">
        <f t="shared" si="64"/>
        <v>137947.24660000001</v>
      </c>
      <c r="AQ42" s="377">
        <f t="shared" si="80"/>
        <v>4828.1536309999992</v>
      </c>
      <c r="AR42" s="373">
        <f t="shared" si="81"/>
        <v>8873.1564462440001</v>
      </c>
      <c r="AS42" s="373">
        <f t="shared" si="65"/>
        <v>151741.97125999999</v>
      </c>
      <c r="AT42" s="377">
        <f t="shared" si="86"/>
        <v>4828.1536309999992</v>
      </c>
      <c r="AU42" s="373">
        <f t="shared" si="67"/>
        <v>8873.1564462440001</v>
      </c>
      <c r="AV42" s="373">
        <f t="shared" si="68"/>
        <v>165536.69592</v>
      </c>
      <c r="AW42" s="377">
        <f t="shared" si="87"/>
        <v>4828.1536309999992</v>
      </c>
      <c r="AX42" s="373">
        <f t="shared" si="70"/>
        <v>8873.1564462440001</v>
      </c>
      <c r="AY42" s="292"/>
      <c r="BA42" s="358"/>
    </row>
    <row r="43" spans="1:53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43"/>
        <v>19984.079999999998</v>
      </c>
      <c r="G43" s="233">
        <v>359</v>
      </c>
      <c r="H43" s="353">
        <f t="shared" si="71"/>
        <v>13794.72466</v>
      </c>
      <c r="I43" s="363">
        <v>0.65</v>
      </c>
      <c r="J43" s="362">
        <v>7000</v>
      </c>
      <c r="K43" s="361">
        <f t="shared" si="12"/>
        <v>9692.2179918773327</v>
      </c>
      <c r="L43" s="390">
        <v>6897.2603048250676</v>
      </c>
      <c r="M43" s="390">
        <f t="shared" si="72"/>
        <v>2794.9576870522651</v>
      </c>
      <c r="N43" s="372">
        <f t="shared" si="13"/>
        <v>93.414582756000001</v>
      </c>
      <c r="O43" s="373">
        <f t="shared" si="44"/>
        <v>13794.72466</v>
      </c>
      <c r="P43" s="374">
        <f t="shared" si="45"/>
        <v>2258.9449319999999</v>
      </c>
      <c r="Q43" s="373">
        <f t="shared" si="46"/>
        <v>11442.365145243999</v>
      </c>
      <c r="R43" s="373">
        <f t="shared" si="47"/>
        <v>27589.44932</v>
      </c>
      <c r="S43" s="376">
        <f t="shared" si="88"/>
        <v>2940.2063843999999</v>
      </c>
      <c r="T43" s="373">
        <f t="shared" si="48"/>
        <v>10761.103692843999</v>
      </c>
      <c r="U43" s="373">
        <f t="shared" si="49"/>
        <v>41384.17398</v>
      </c>
      <c r="V43" s="376">
        <f t="shared" si="89"/>
        <v>3905.8371106000004</v>
      </c>
      <c r="W43" s="373">
        <f t="shared" si="51"/>
        <v>9795.4729666439998</v>
      </c>
      <c r="X43" s="373">
        <f t="shared" si="52"/>
        <v>55178.898639999999</v>
      </c>
      <c r="Y43" s="376">
        <f t="shared" si="53"/>
        <v>3724.5756582000004</v>
      </c>
      <c r="Z43" s="373">
        <f t="shared" si="54"/>
        <v>9976.7344190439981</v>
      </c>
      <c r="AA43" s="373">
        <f t="shared" si="55"/>
        <v>68973.623300000007</v>
      </c>
      <c r="AB43" s="376">
        <f t="shared" si="56"/>
        <v>3724.5756582000004</v>
      </c>
      <c r="AC43" s="373">
        <f t="shared" si="74"/>
        <v>9976.7344190439981</v>
      </c>
      <c r="AD43" s="373">
        <f t="shared" si="57"/>
        <v>82768.347959999999</v>
      </c>
      <c r="AE43" s="376">
        <f t="shared" si="91"/>
        <v>3724.5756582000004</v>
      </c>
      <c r="AF43" s="373">
        <f t="shared" si="76"/>
        <v>9976.7344190439981</v>
      </c>
      <c r="AG43" s="373">
        <f t="shared" si="58"/>
        <v>96563.072619999992</v>
      </c>
      <c r="AH43" s="377">
        <f t="shared" si="92"/>
        <v>4409.6214677999969</v>
      </c>
      <c r="AI43" s="373">
        <f t="shared" si="59"/>
        <v>9291.6886094440015</v>
      </c>
      <c r="AJ43" s="373">
        <f t="shared" si="60"/>
        <v>110357.79728</v>
      </c>
      <c r="AK43" s="377">
        <f t="shared" si="93"/>
        <v>4828.1536309999992</v>
      </c>
      <c r="AL43" s="373">
        <f t="shared" si="61"/>
        <v>8873.1564462440001</v>
      </c>
      <c r="AM43" s="373">
        <f t="shared" si="62"/>
        <v>124152.52194000001</v>
      </c>
      <c r="AN43" s="377">
        <f t="shared" si="90"/>
        <v>4828.1536309999992</v>
      </c>
      <c r="AO43" s="373">
        <f t="shared" si="63"/>
        <v>8873.1564462440001</v>
      </c>
      <c r="AP43" s="373">
        <f t="shared" si="64"/>
        <v>137947.24660000001</v>
      </c>
      <c r="AQ43" s="377">
        <f t="shared" si="80"/>
        <v>4828.1536309999992</v>
      </c>
      <c r="AR43" s="373">
        <f t="shared" si="81"/>
        <v>8873.1564462440001</v>
      </c>
      <c r="AS43" s="373">
        <f t="shared" si="65"/>
        <v>151741.97125999999</v>
      </c>
      <c r="AT43" s="377">
        <f t="shared" si="86"/>
        <v>4828.1536309999992</v>
      </c>
      <c r="AU43" s="373">
        <f t="shared" si="67"/>
        <v>8873.1564462440001</v>
      </c>
      <c r="AV43" s="373">
        <f t="shared" si="68"/>
        <v>165536.69592</v>
      </c>
      <c r="AW43" s="377">
        <f t="shared" si="87"/>
        <v>4828.1536309999992</v>
      </c>
      <c r="AX43" s="373">
        <f t="shared" si="70"/>
        <v>8873.1564462440001</v>
      </c>
      <c r="AY43" s="292"/>
      <c r="BA43" s="358"/>
    </row>
    <row r="44" spans="1:53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43"/>
        <v>19984.079999999998</v>
      </c>
      <c r="G44" s="233">
        <v>359</v>
      </c>
      <c r="H44" s="353">
        <f t="shared" si="71"/>
        <v>13794.72466</v>
      </c>
      <c r="I44" s="363">
        <v>0.65</v>
      </c>
      <c r="J44" s="362">
        <v>6700</v>
      </c>
      <c r="K44" s="361">
        <f t="shared" si="12"/>
        <v>9692.2179918773327</v>
      </c>
      <c r="L44" s="390">
        <v>6625.3187427522671</v>
      </c>
      <c r="M44" s="390">
        <f t="shared" si="72"/>
        <v>3066.8992491250656</v>
      </c>
      <c r="N44" s="372">
        <f t="shared" si="13"/>
        <v>93.414582756000001</v>
      </c>
      <c r="O44" s="373">
        <f t="shared" si="44"/>
        <v>13794.72466</v>
      </c>
      <c r="P44" s="374">
        <f t="shared" si="45"/>
        <v>2258.9449319999999</v>
      </c>
      <c r="Q44" s="373">
        <f t="shared" si="46"/>
        <v>11442.365145243999</v>
      </c>
      <c r="R44" s="373">
        <f t="shared" si="47"/>
        <v>27589.44932</v>
      </c>
      <c r="S44" s="376">
        <f t="shared" si="88"/>
        <v>2940.2063843999999</v>
      </c>
      <c r="T44" s="373">
        <f t="shared" si="48"/>
        <v>10761.103692843999</v>
      </c>
      <c r="U44" s="373">
        <f t="shared" si="49"/>
        <v>41384.17398</v>
      </c>
      <c r="V44" s="376">
        <f t="shared" si="89"/>
        <v>3905.8371106000004</v>
      </c>
      <c r="W44" s="373">
        <f t="shared" si="51"/>
        <v>9795.4729666439998</v>
      </c>
      <c r="X44" s="373">
        <f t="shared" si="52"/>
        <v>55178.898639999999</v>
      </c>
      <c r="Y44" s="376">
        <f t="shared" si="53"/>
        <v>3724.5756582000004</v>
      </c>
      <c r="Z44" s="373">
        <f t="shared" si="54"/>
        <v>9976.7344190439981</v>
      </c>
      <c r="AA44" s="373">
        <f t="shared" si="55"/>
        <v>68973.623300000007</v>
      </c>
      <c r="AB44" s="376">
        <f t="shared" si="56"/>
        <v>3724.5756582000004</v>
      </c>
      <c r="AC44" s="373">
        <f t="shared" si="74"/>
        <v>9976.7344190439981</v>
      </c>
      <c r="AD44" s="373">
        <f t="shared" si="57"/>
        <v>82768.347959999999</v>
      </c>
      <c r="AE44" s="376">
        <f t="shared" si="91"/>
        <v>3724.5756582000004</v>
      </c>
      <c r="AF44" s="373">
        <f t="shared" si="76"/>
        <v>9976.7344190439981</v>
      </c>
      <c r="AG44" s="373">
        <f t="shared" si="58"/>
        <v>96563.072619999992</v>
      </c>
      <c r="AH44" s="377">
        <f t="shared" si="92"/>
        <v>4409.6214677999969</v>
      </c>
      <c r="AI44" s="373">
        <f t="shared" si="59"/>
        <v>9291.6886094440015</v>
      </c>
      <c r="AJ44" s="373">
        <f t="shared" si="60"/>
        <v>110357.79728</v>
      </c>
      <c r="AK44" s="377">
        <f t="shared" si="93"/>
        <v>4828.1536309999992</v>
      </c>
      <c r="AL44" s="373">
        <f t="shared" si="61"/>
        <v>8873.1564462440001</v>
      </c>
      <c r="AM44" s="373">
        <f t="shared" si="62"/>
        <v>124152.52194000001</v>
      </c>
      <c r="AN44" s="377">
        <f t="shared" si="90"/>
        <v>4828.1536309999992</v>
      </c>
      <c r="AO44" s="373">
        <f t="shared" si="63"/>
        <v>8873.1564462440001</v>
      </c>
      <c r="AP44" s="373">
        <f t="shared" si="64"/>
        <v>137947.24660000001</v>
      </c>
      <c r="AQ44" s="377">
        <f t="shared" si="80"/>
        <v>4828.1536309999992</v>
      </c>
      <c r="AR44" s="373">
        <f t="shared" si="81"/>
        <v>8873.1564462440001</v>
      </c>
      <c r="AS44" s="373">
        <f t="shared" si="65"/>
        <v>151741.97125999999</v>
      </c>
      <c r="AT44" s="377">
        <f t="shared" si="86"/>
        <v>4828.1536309999992</v>
      </c>
      <c r="AU44" s="373">
        <f t="shared" si="67"/>
        <v>8873.1564462440001</v>
      </c>
      <c r="AV44" s="373">
        <f t="shared" si="68"/>
        <v>165536.69592</v>
      </c>
      <c r="AW44" s="377">
        <f t="shared" si="87"/>
        <v>4828.1536309999992</v>
      </c>
      <c r="AX44" s="373">
        <f t="shared" si="70"/>
        <v>8873.1564462440001</v>
      </c>
      <c r="AY44" s="292"/>
      <c r="BA44" s="358"/>
    </row>
    <row r="45" spans="1:53" ht="28.5" x14ac:dyDescent="0.45">
      <c r="A45" s="716"/>
      <c r="B45" s="478" t="s">
        <v>226</v>
      </c>
      <c r="C45" s="479">
        <v>200</v>
      </c>
      <c r="D45" s="239">
        <v>4996.0199999999995</v>
      </c>
      <c r="E45" s="239">
        <v>6661.36</v>
      </c>
      <c r="F45" s="239">
        <f t="shared" si="43"/>
        <v>11657.38</v>
      </c>
      <c r="G45" s="480">
        <v>359</v>
      </c>
      <c r="H45" s="481">
        <f t="shared" si="71"/>
        <v>8707.11096</v>
      </c>
      <c r="I45" s="477">
        <v>0.65</v>
      </c>
      <c r="J45" s="482">
        <v>6800</v>
      </c>
      <c r="K45" s="483">
        <f t="shared" si="12"/>
        <v>6433.9524583306675</v>
      </c>
      <c r="L45" s="484">
        <v>6756.2535689354663</v>
      </c>
      <c r="M45" s="484">
        <f t="shared" si="72"/>
        <v>-322.30111060479885</v>
      </c>
      <c r="N45" s="372">
        <f t="shared" si="13"/>
        <v>59.836332335999998</v>
      </c>
      <c r="O45" s="373">
        <f t="shared" si="44"/>
        <v>8707.11096</v>
      </c>
      <c r="P45" s="378">
        <f t="shared" ref="P45:P54" si="94">O45*0.15</f>
        <v>1306.066644</v>
      </c>
      <c r="Q45" s="373">
        <f t="shared" si="46"/>
        <v>7341.2079836639987</v>
      </c>
      <c r="R45" s="373">
        <f t="shared" si="47"/>
        <v>17414.22192</v>
      </c>
      <c r="S45" s="374">
        <f t="shared" ref="S45:S51" si="95">(R45-10000)*0.2+(10000-O45)*0.15</f>
        <v>1676.77774</v>
      </c>
      <c r="T45" s="373">
        <f t="shared" si="48"/>
        <v>6970.4968876639996</v>
      </c>
      <c r="U45" s="373">
        <f t="shared" si="49"/>
        <v>26121.332880000002</v>
      </c>
      <c r="V45" s="376">
        <f t="shared" si="89"/>
        <v>1819.9154936000004</v>
      </c>
      <c r="W45" s="373">
        <f t="shared" si="51"/>
        <v>6827.3591340639987</v>
      </c>
      <c r="X45" s="373">
        <f t="shared" si="52"/>
        <v>34828.44384</v>
      </c>
      <c r="Y45" s="376">
        <f t="shared" si="53"/>
        <v>2350.9199592</v>
      </c>
      <c r="Z45" s="373">
        <f t="shared" si="54"/>
        <v>6296.3546684639987</v>
      </c>
      <c r="AA45" s="373">
        <f t="shared" si="55"/>
        <v>43535.554799999998</v>
      </c>
      <c r="AB45" s="376">
        <f t="shared" si="56"/>
        <v>2350.9199592</v>
      </c>
      <c r="AC45" s="373">
        <f t="shared" si="74"/>
        <v>6296.3546684639987</v>
      </c>
      <c r="AD45" s="373">
        <f t="shared" si="57"/>
        <v>52242.665760000004</v>
      </c>
      <c r="AE45" s="376">
        <f t="shared" si="91"/>
        <v>2350.9199592</v>
      </c>
      <c r="AF45" s="373">
        <f t="shared" si="76"/>
        <v>6296.3546684639987</v>
      </c>
      <c r="AG45" s="373">
        <f t="shared" si="58"/>
        <v>60949.776720000002</v>
      </c>
      <c r="AH45" s="376">
        <f t="shared" ref="AH45:AH52" si="96">H45*0.27</f>
        <v>2350.9199592</v>
      </c>
      <c r="AI45" s="373">
        <f t="shared" si="59"/>
        <v>6296.3546684639987</v>
      </c>
      <c r="AJ45" s="373">
        <f t="shared" si="60"/>
        <v>69656.88768</v>
      </c>
      <c r="AK45" s="376">
        <f t="shared" ref="AK45:AK54" si="97">H45*0.27</f>
        <v>2350.9199592</v>
      </c>
      <c r="AL45" s="373">
        <f t="shared" si="61"/>
        <v>6296.3546684639987</v>
      </c>
      <c r="AM45" s="373">
        <f t="shared" si="62"/>
        <v>78363.998640000005</v>
      </c>
      <c r="AN45" s="376">
        <f>H45*0.27</f>
        <v>2350.9199592</v>
      </c>
      <c r="AO45" s="373">
        <f t="shared" si="63"/>
        <v>6296.3546684639987</v>
      </c>
      <c r="AP45" s="373">
        <f t="shared" si="64"/>
        <v>87071.109599999996</v>
      </c>
      <c r="AQ45" s="376">
        <f>H45*0.27</f>
        <v>2350.9199592</v>
      </c>
      <c r="AR45" s="373">
        <f t="shared" si="81"/>
        <v>6296.3546684639987</v>
      </c>
      <c r="AS45" s="373">
        <f t="shared" si="65"/>
        <v>95778.220560000002</v>
      </c>
      <c r="AT45" s="377">
        <f>(AS45-88000)*0.35+(88000-AP45)*0.27</f>
        <v>2973.1776040000013</v>
      </c>
      <c r="AU45" s="373">
        <f t="shared" si="67"/>
        <v>5674.0970236639978</v>
      </c>
      <c r="AV45" s="373">
        <f t="shared" si="68"/>
        <v>104485.33152000001</v>
      </c>
      <c r="AW45" s="377">
        <f t="shared" si="87"/>
        <v>3047.488836</v>
      </c>
      <c r="AX45" s="373">
        <f t="shared" si="70"/>
        <v>5599.7857916639987</v>
      </c>
      <c r="AY45" s="292"/>
      <c r="BA45" s="358"/>
    </row>
    <row r="46" spans="1:53" ht="28.5" x14ac:dyDescent="0.45">
      <c r="A46" s="716"/>
      <c r="B46" s="461" t="s">
        <v>227</v>
      </c>
      <c r="C46" s="231">
        <v>200</v>
      </c>
      <c r="D46" s="234">
        <v>4996.0199999999995</v>
      </c>
      <c r="E46" s="234">
        <v>6661.36</v>
      </c>
      <c r="F46" s="234">
        <f t="shared" si="43"/>
        <v>11657.38</v>
      </c>
      <c r="G46" s="233">
        <v>359</v>
      </c>
      <c r="H46" s="353">
        <f t="shared" si="71"/>
        <v>8707.11096</v>
      </c>
      <c r="I46" s="363">
        <v>0.65</v>
      </c>
      <c r="J46" s="362">
        <v>6000</v>
      </c>
      <c r="K46" s="361">
        <f t="shared" si="12"/>
        <v>6433.9524583306675</v>
      </c>
      <c r="L46" s="390">
        <v>6025.1402412746656</v>
      </c>
      <c r="M46" s="390">
        <f t="shared" si="72"/>
        <v>408.81221705600183</v>
      </c>
      <c r="N46" s="372">
        <f t="shared" si="13"/>
        <v>59.836332335999998</v>
      </c>
      <c r="O46" s="373">
        <f t="shared" si="44"/>
        <v>8707.11096</v>
      </c>
      <c r="P46" s="378">
        <f t="shared" si="94"/>
        <v>1306.066644</v>
      </c>
      <c r="Q46" s="373">
        <f t="shared" si="46"/>
        <v>7341.2079836639987</v>
      </c>
      <c r="R46" s="373">
        <f t="shared" si="47"/>
        <v>17414.22192</v>
      </c>
      <c r="S46" s="374">
        <f t="shared" si="95"/>
        <v>1676.77774</v>
      </c>
      <c r="T46" s="373">
        <f t="shared" si="48"/>
        <v>6970.4968876639996</v>
      </c>
      <c r="U46" s="373">
        <f t="shared" si="49"/>
        <v>26121.332880000002</v>
      </c>
      <c r="V46" s="376">
        <f t="shared" si="89"/>
        <v>1819.9154936000004</v>
      </c>
      <c r="W46" s="373">
        <f t="shared" si="51"/>
        <v>6827.3591340639987</v>
      </c>
      <c r="X46" s="373">
        <f t="shared" si="52"/>
        <v>34828.44384</v>
      </c>
      <c r="Y46" s="376">
        <f t="shared" si="53"/>
        <v>2350.9199592</v>
      </c>
      <c r="Z46" s="373">
        <f t="shared" si="54"/>
        <v>6296.3546684639987</v>
      </c>
      <c r="AA46" s="373">
        <f t="shared" si="55"/>
        <v>43535.554799999998</v>
      </c>
      <c r="AB46" s="376">
        <f t="shared" si="56"/>
        <v>2350.9199592</v>
      </c>
      <c r="AC46" s="373">
        <f t="shared" si="74"/>
        <v>6296.3546684639987</v>
      </c>
      <c r="AD46" s="373">
        <f t="shared" si="57"/>
        <v>52242.665760000004</v>
      </c>
      <c r="AE46" s="376">
        <f t="shared" si="91"/>
        <v>2350.9199592</v>
      </c>
      <c r="AF46" s="373">
        <f t="shared" si="76"/>
        <v>6296.3546684639987</v>
      </c>
      <c r="AG46" s="373">
        <f t="shared" si="58"/>
        <v>60949.776720000002</v>
      </c>
      <c r="AH46" s="376">
        <f t="shared" si="96"/>
        <v>2350.9199592</v>
      </c>
      <c r="AI46" s="373">
        <f t="shared" si="59"/>
        <v>6296.3546684639987</v>
      </c>
      <c r="AJ46" s="373">
        <f t="shared" si="60"/>
        <v>69656.88768</v>
      </c>
      <c r="AK46" s="376">
        <f t="shared" si="97"/>
        <v>2350.9199592</v>
      </c>
      <c r="AL46" s="373">
        <f t="shared" si="61"/>
        <v>6296.3546684639987</v>
      </c>
      <c r="AM46" s="373">
        <f t="shared" si="62"/>
        <v>78363.998640000005</v>
      </c>
      <c r="AN46" s="376">
        <f>H46*0.27</f>
        <v>2350.9199592</v>
      </c>
      <c r="AO46" s="373">
        <f t="shared" si="63"/>
        <v>6296.3546684639987</v>
      </c>
      <c r="AP46" s="373">
        <f t="shared" si="64"/>
        <v>87071.109599999996</v>
      </c>
      <c r="AQ46" s="376">
        <f>H46*0.27</f>
        <v>2350.9199592</v>
      </c>
      <c r="AR46" s="373">
        <f t="shared" si="81"/>
        <v>6296.3546684639987</v>
      </c>
      <c r="AS46" s="373">
        <f t="shared" si="65"/>
        <v>95778.220560000002</v>
      </c>
      <c r="AT46" s="377">
        <f>(AS46-88000)*0.35+(88000-AP46)*0.27</f>
        <v>2973.1776040000013</v>
      </c>
      <c r="AU46" s="373">
        <f t="shared" si="67"/>
        <v>5674.0970236639978</v>
      </c>
      <c r="AV46" s="373">
        <f t="shared" si="68"/>
        <v>104485.33152000001</v>
      </c>
      <c r="AW46" s="377">
        <f t="shared" si="87"/>
        <v>3047.488836</v>
      </c>
      <c r="AX46" s="373">
        <f t="shared" si="70"/>
        <v>5599.7857916639987</v>
      </c>
      <c r="AY46" s="292"/>
      <c r="BA46" s="358"/>
    </row>
    <row r="47" spans="1:53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43"/>
        <v>13988.856</v>
      </c>
      <c r="G47" s="233">
        <v>359</v>
      </c>
      <c r="H47" s="353">
        <f t="shared" si="71"/>
        <v>10131.642795999998</v>
      </c>
      <c r="I47" s="363">
        <v>0.65</v>
      </c>
      <c r="J47" s="362">
        <v>7351</v>
      </c>
      <c r="K47" s="361">
        <f t="shared" si="12"/>
        <v>7350.4962416130656</v>
      </c>
      <c r="L47" s="390">
        <v>7187.3313043693861</v>
      </c>
      <c r="M47" s="390">
        <f t="shared" si="72"/>
        <v>163.16493724367956</v>
      </c>
      <c r="N47" s="372">
        <f t="shared" si="13"/>
        <v>69.238242453599995</v>
      </c>
      <c r="O47" s="373">
        <f t="shared" si="44"/>
        <v>10131.642795999998</v>
      </c>
      <c r="P47" s="374">
        <f t="shared" ref="P47:P48" si="98">(O47-10000)*0.2+10000*0.15</f>
        <v>1526.3285591999997</v>
      </c>
      <c r="Q47" s="373">
        <f t="shared" si="46"/>
        <v>8536.0759943463981</v>
      </c>
      <c r="R47" s="373">
        <f t="shared" si="47"/>
        <v>20263.285591999997</v>
      </c>
      <c r="S47" s="374">
        <f>H47*0.2</f>
        <v>2026.3285591999997</v>
      </c>
      <c r="T47" s="373">
        <f t="shared" si="48"/>
        <v>8036.0759943463981</v>
      </c>
      <c r="U47" s="373">
        <f t="shared" si="49"/>
        <v>30394.928387999993</v>
      </c>
      <c r="V47" s="376">
        <f>(U47-25000)*0.27+(25000-R47)*0.2</f>
        <v>2403.9735463599991</v>
      </c>
      <c r="W47" s="373">
        <f t="shared" si="51"/>
        <v>7658.4310071863983</v>
      </c>
      <c r="X47" s="373">
        <f t="shared" si="52"/>
        <v>40526.571183999993</v>
      </c>
      <c r="Y47" s="376">
        <f t="shared" si="53"/>
        <v>2735.5435549199997</v>
      </c>
      <c r="Z47" s="373">
        <f t="shared" si="54"/>
        <v>7326.8609986263982</v>
      </c>
      <c r="AA47" s="373">
        <f t="shared" si="55"/>
        <v>50658.213979999993</v>
      </c>
      <c r="AB47" s="376">
        <f t="shared" si="56"/>
        <v>2735.5435549199997</v>
      </c>
      <c r="AC47" s="373">
        <f t="shared" si="74"/>
        <v>7326.8609986263982</v>
      </c>
      <c r="AD47" s="373">
        <f t="shared" si="57"/>
        <v>60789.856775999986</v>
      </c>
      <c r="AE47" s="376">
        <f t="shared" si="91"/>
        <v>2735.5435549199997</v>
      </c>
      <c r="AF47" s="373">
        <f t="shared" si="76"/>
        <v>7326.8609986263982</v>
      </c>
      <c r="AG47" s="373">
        <f t="shared" si="58"/>
        <v>70921.499571999986</v>
      </c>
      <c r="AH47" s="376">
        <f t="shared" si="96"/>
        <v>2735.5435549199997</v>
      </c>
      <c r="AI47" s="373">
        <f t="shared" si="59"/>
        <v>7326.8609986263982</v>
      </c>
      <c r="AJ47" s="373">
        <f t="shared" si="60"/>
        <v>81053.142367999986</v>
      </c>
      <c r="AK47" s="376">
        <f t="shared" si="97"/>
        <v>2735.5435549199997</v>
      </c>
      <c r="AL47" s="373">
        <f t="shared" si="61"/>
        <v>7326.8609986263982</v>
      </c>
      <c r="AM47" s="373">
        <f t="shared" si="62"/>
        <v>91184.785163999986</v>
      </c>
      <c r="AN47" s="377">
        <f>(AM47-88000)*0.35+(88000-AJ47)*0.27</f>
        <v>2990.3263680399991</v>
      </c>
      <c r="AO47" s="373">
        <f t="shared" si="63"/>
        <v>7072.0781855063979</v>
      </c>
      <c r="AP47" s="373">
        <f t="shared" si="64"/>
        <v>101316.42795999999</v>
      </c>
      <c r="AQ47" s="377">
        <f>H47*0.35</f>
        <v>3546.0749785999992</v>
      </c>
      <c r="AR47" s="373">
        <f t="shared" si="81"/>
        <v>6516.3295749463978</v>
      </c>
      <c r="AS47" s="373">
        <f t="shared" si="65"/>
        <v>111448.07075599999</v>
      </c>
      <c r="AT47" s="377">
        <f>H47*0.35</f>
        <v>3546.0749785999992</v>
      </c>
      <c r="AU47" s="373">
        <f t="shared" si="67"/>
        <v>6516.3295749463978</v>
      </c>
      <c r="AV47" s="373">
        <f t="shared" si="68"/>
        <v>121579.71355199997</v>
      </c>
      <c r="AW47" s="377">
        <f>H47*0.35</f>
        <v>3546.0749785999992</v>
      </c>
      <c r="AX47" s="373">
        <f t="shared" si="70"/>
        <v>6516.3295749463978</v>
      </c>
      <c r="AY47" s="292"/>
      <c r="BA47" s="358"/>
    </row>
    <row r="48" spans="1:53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43"/>
        <v>13988.856</v>
      </c>
      <c r="G48" s="233">
        <v>359</v>
      </c>
      <c r="H48" s="353">
        <f t="shared" si="71"/>
        <v>10131.642795999998</v>
      </c>
      <c r="I48" s="363">
        <v>0.65</v>
      </c>
      <c r="J48" s="362">
        <v>6000</v>
      </c>
      <c r="K48" s="361">
        <f t="shared" si="12"/>
        <v>7350.4962416130656</v>
      </c>
      <c r="L48" s="390">
        <v>5990.7884312490669</v>
      </c>
      <c r="M48" s="390">
        <f t="shared" si="72"/>
        <v>1359.7078103639988</v>
      </c>
      <c r="N48" s="372">
        <f t="shared" si="13"/>
        <v>69.238242453599995</v>
      </c>
      <c r="O48" s="373">
        <f t="shared" si="44"/>
        <v>10131.642795999998</v>
      </c>
      <c r="P48" s="374">
        <f t="shared" si="98"/>
        <v>1526.3285591999997</v>
      </c>
      <c r="Q48" s="373">
        <f t="shared" si="46"/>
        <v>8536.0759943463981</v>
      </c>
      <c r="R48" s="373">
        <f t="shared" si="47"/>
        <v>20263.285591999997</v>
      </c>
      <c r="S48" s="374">
        <f>H48*0.2</f>
        <v>2026.3285591999997</v>
      </c>
      <c r="T48" s="373">
        <f t="shared" si="48"/>
        <v>8036.0759943463981</v>
      </c>
      <c r="U48" s="373">
        <f t="shared" si="49"/>
        <v>30394.928387999993</v>
      </c>
      <c r="V48" s="376">
        <f>(U48-25000)*0.27+(25000-R48)*0.2</f>
        <v>2403.9735463599991</v>
      </c>
      <c r="W48" s="373">
        <f t="shared" si="51"/>
        <v>7658.4310071863983</v>
      </c>
      <c r="X48" s="373">
        <f t="shared" si="52"/>
        <v>40526.571183999993</v>
      </c>
      <c r="Y48" s="376">
        <f t="shared" si="53"/>
        <v>2735.5435549199997</v>
      </c>
      <c r="Z48" s="373">
        <f t="shared" si="54"/>
        <v>7326.8609986263982</v>
      </c>
      <c r="AA48" s="373">
        <f t="shared" si="55"/>
        <v>50658.213979999993</v>
      </c>
      <c r="AB48" s="376">
        <f t="shared" si="56"/>
        <v>2735.5435549199997</v>
      </c>
      <c r="AC48" s="373">
        <f t="shared" si="74"/>
        <v>7326.8609986263982</v>
      </c>
      <c r="AD48" s="373">
        <f t="shared" si="57"/>
        <v>60789.856775999986</v>
      </c>
      <c r="AE48" s="376">
        <f t="shared" si="91"/>
        <v>2735.5435549199997</v>
      </c>
      <c r="AF48" s="373">
        <f t="shared" si="76"/>
        <v>7326.8609986263982</v>
      </c>
      <c r="AG48" s="373">
        <f t="shared" si="58"/>
        <v>70921.499571999986</v>
      </c>
      <c r="AH48" s="376">
        <f t="shared" si="96"/>
        <v>2735.5435549199997</v>
      </c>
      <c r="AI48" s="373">
        <f t="shared" si="59"/>
        <v>7326.8609986263982</v>
      </c>
      <c r="AJ48" s="373">
        <f t="shared" si="60"/>
        <v>81053.142367999986</v>
      </c>
      <c r="AK48" s="376">
        <f t="shared" si="97"/>
        <v>2735.5435549199997</v>
      </c>
      <c r="AL48" s="373">
        <f t="shared" si="61"/>
        <v>7326.8609986263982</v>
      </c>
      <c r="AM48" s="373">
        <f t="shared" si="62"/>
        <v>91184.785163999986</v>
      </c>
      <c r="AN48" s="377">
        <f>(AM48-88000)*0.35+(88000-AJ48)*0.27</f>
        <v>2990.3263680399991</v>
      </c>
      <c r="AO48" s="373">
        <f t="shared" si="63"/>
        <v>7072.0781855063979</v>
      </c>
      <c r="AP48" s="373">
        <f t="shared" si="64"/>
        <v>101316.42795999999</v>
      </c>
      <c r="AQ48" s="377">
        <f>H48*0.35</f>
        <v>3546.0749785999992</v>
      </c>
      <c r="AR48" s="373">
        <f t="shared" si="81"/>
        <v>6516.3295749463978</v>
      </c>
      <c r="AS48" s="373">
        <f t="shared" si="65"/>
        <v>111448.07075599999</v>
      </c>
      <c r="AT48" s="377">
        <f>H48*0.35</f>
        <v>3546.0749785999992</v>
      </c>
      <c r="AU48" s="373">
        <f t="shared" si="67"/>
        <v>6516.3295749463978</v>
      </c>
      <c r="AV48" s="373">
        <f t="shared" si="68"/>
        <v>121579.71355199997</v>
      </c>
      <c r="AW48" s="377">
        <f>H48*0.35</f>
        <v>3546.0749785999992</v>
      </c>
      <c r="AX48" s="373">
        <f t="shared" si="70"/>
        <v>6516.3295749463978</v>
      </c>
      <c r="AY48" s="292"/>
      <c r="BA48" s="358"/>
    </row>
    <row r="49" spans="1:53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43"/>
        <v>10991.243999999999</v>
      </c>
      <c r="G49" s="233">
        <v>359</v>
      </c>
      <c r="H49" s="353">
        <f t="shared" si="71"/>
        <v>8300.1018640000002</v>
      </c>
      <c r="I49" s="363">
        <v>0.65</v>
      </c>
      <c r="J49" s="362">
        <v>6100</v>
      </c>
      <c r="K49" s="361">
        <f t="shared" si="12"/>
        <v>6172.0828059642654</v>
      </c>
      <c r="L49" s="390">
        <v>6063.3061811351463</v>
      </c>
      <c r="M49" s="390">
        <f t="shared" si="72"/>
        <v>108.7766248291191</v>
      </c>
      <c r="N49" s="372">
        <f t="shared" si="13"/>
        <v>57.150072302399998</v>
      </c>
      <c r="O49" s="373">
        <f t="shared" si="44"/>
        <v>8300.1018640000002</v>
      </c>
      <c r="P49" s="378">
        <f t="shared" si="94"/>
        <v>1245.0152796</v>
      </c>
      <c r="Q49" s="373">
        <f t="shared" si="46"/>
        <v>6997.9365120975999</v>
      </c>
      <c r="R49" s="373">
        <f t="shared" si="47"/>
        <v>16600.203728</v>
      </c>
      <c r="S49" s="374">
        <f t="shared" si="95"/>
        <v>1575.0254660000003</v>
      </c>
      <c r="T49" s="373">
        <f t="shared" si="48"/>
        <v>6667.9263256976001</v>
      </c>
      <c r="U49" s="373">
        <f t="shared" si="49"/>
        <v>24900.305592000001</v>
      </c>
      <c r="V49" s="374">
        <f>H49*0.2</f>
        <v>1660.0203728000001</v>
      </c>
      <c r="W49" s="373">
        <f t="shared" si="51"/>
        <v>6582.9314188976005</v>
      </c>
      <c r="X49" s="373">
        <f t="shared" si="52"/>
        <v>33200.407456000001</v>
      </c>
      <c r="Y49" s="376">
        <f>(X49-25000)*0.27+(25000-U49)*0.2</f>
        <v>2234.0488947200006</v>
      </c>
      <c r="Z49" s="373">
        <f t="shared" si="54"/>
        <v>6008.9028969775991</v>
      </c>
      <c r="AA49" s="373">
        <f t="shared" si="55"/>
        <v>41500.509319999997</v>
      </c>
      <c r="AB49" s="376">
        <f t="shared" si="56"/>
        <v>2241.02750328</v>
      </c>
      <c r="AC49" s="373">
        <f t="shared" si="74"/>
        <v>6001.9242884176001</v>
      </c>
      <c r="AD49" s="373">
        <f t="shared" si="57"/>
        <v>49800.611184000001</v>
      </c>
      <c r="AE49" s="376">
        <f t="shared" si="91"/>
        <v>2241.02750328</v>
      </c>
      <c r="AF49" s="373">
        <f t="shared" si="76"/>
        <v>6001.9242884176001</v>
      </c>
      <c r="AG49" s="373">
        <f t="shared" si="58"/>
        <v>58100.713048000005</v>
      </c>
      <c r="AH49" s="376">
        <f t="shared" si="96"/>
        <v>2241.02750328</v>
      </c>
      <c r="AI49" s="373">
        <f t="shared" si="59"/>
        <v>6001.9242884176001</v>
      </c>
      <c r="AJ49" s="373">
        <f t="shared" si="60"/>
        <v>66400.814912000002</v>
      </c>
      <c r="AK49" s="376">
        <f t="shared" si="97"/>
        <v>2241.02750328</v>
      </c>
      <c r="AL49" s="373">
        <f t="shared" si="61"/>
        <v>6001.9242884176001</v>
      </c>
      <c r="AM49" s="373">
        <f t="shared" si="62"/>
        <v>74700.916775999998</v>
      </c>
      <c r="AN49" s="376">
        <f t="shared" ref="AN49:AN54" si="99">H49*0.27</f>
        <v>2241.02750328</v>
      </c>
      <c r="AO49" s="373">
        <f t="shared" si="63"/>
        <v>6001.9242884176001</v>
      </c>
      <c r="AP49" s="373">
        <f t="shared" si="64"/>
        <v>83001.018639999995</v>
      </c>
      <c r="AQ49" s="376">
        <f>H49*0.27</f>
        <v>2241.02750328</v>
      </c>
      <c r="AR49" s="373">
        <f t="shared" si="81"/>
        <v>6001.9242884176001</v>
      </c>
      <c r="AS49" s="373">
        <f t="shared" si="65"/>
        <v>91301.120504000006</v>
      </c>
      <c r="AT49" s="377">
        <f>(AS49-88000)*0.35+(88000-AP49)*0.27</f>
        <v>2505.1171436000031</v>
      </c>
      <c r="AU49" s="373">
        <f t="shared" si="67"/>
        <v>5737.834648097597</v>
      </c>
      <c r="AV49" s="373">
        <f t="shared" si="68"/>
        <v>99601.222368000002</v>
      </c>
      <c r="AW49" s="377">
        <f>H49*0.35</f>
        <v>2905.0356523999999</v>
      </c>
      <c r="AX49" s="373">
        <f t="shared" si="70"/>
        <v>5337.9161392976002</v>
      </c>
      <c r="AY49" s="292"/>
      <c r="BA49" s="358"/>
    </row>
    <row r="50" spans="1:53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43"/>
        <v>10991.243999999999</v>
      </c>
      <c r="G50" s="233">
        <v>359</v>
      </c>
      <c r="H50" s="353">
        <f t="shared" si="71"/>
        <v>8300.1018640000002</v>
      </c>
      <c r="I50" s="363">
        <v>0.65</v>
      </c>
      <c r="J50" s="362">
        <v>5400</v>
      </c>
      <c r="K50" s="361">
        <f t="shared" si="12"/>
        <v>6172.0828059642654</v>
      </c>
      <c r="L50" s="390">
        <v>5393.3113372057587</v>
      </c>
      <c r="M50" s="390">
        <f t="shared" si="72"/>
        <v>778.77146875850667</v>
      </c>
      <c r="N50" s="372">
        <f t="shared" si="13"/>
        <v>57.150072302399998</v>
      </c>
      <c r="O50" s="373">
        <f t="shared" si="44"/>
        <v>8300.1018640000002</v>
      </c>
      <c r="P50" s="378">
        <f t="shared" si="94"/>
        <v>1245.0152796</v>
      </c>
      <c r="Q50" s="373">
        <f t="shared" si="46"/>
        <v>6997.9365120975999</v>
      </c>
      <c r="R50" s="373">
        <f t="shared" si="47"/>
        <v>16600.203728</v>
      </c>
      <c r="S50" s="374">
        <f t="shared" si="95"/>
        <v>1575.0254660000003</v>
      </c>
      <c r="T50" s="373">
        <f t="shared" si="48"/>
        <v>6667.9263256976001</v>
      </c>
      <c r="U50" s="373">
        <f t="shared" si="49"/>
        <v>24900.305592000001</v>
      </c>
      <c r="V50" s="374">
        <f>H50*0.2</f>
        <v>1660.0203728000001</v>
      </c>
      <c r="W50" s="373">
        <f t="shared" si="51"/>
        <v>6582.9314188976005</v>
      </c>
      <c r="X50" s="373">
        <f t="shared" si="52"/>
        <v>33200.407456000001</v>
      </c>
      <c r="Y50" s="376">
        <f t="shared" ref="Y50:Y51" si="100">(X50-25000)*0.27+(25000-U50)*0.2</f>
        <v>2234.0488947200006</v>
      </c>
      <c r="Z50" s="373">
        <f t="shared" si="54"/>
        <v>6008.9028969775991</v>
      </c>
      <c r="AA50" s="373">
        <f t="shared" si="55"/>
        <v>41500.509319999997</v>
      </c>
      <c r="AB50" s="376">
        <f t="shared" si="56"/>
        <v>2241.02750328</v>
      </c>
      <c r="AC50" s="373">
        <f t="shared" si="74"/>
        <v>6001.9242884176001</v>
      </c>
      <c r="AD50" s="373">
        <f t="shared" si="57"/>
        <v>49800.611184000001</v>
      </c>
      <c r="AE50" s="376">
        <f t="shared" si="91"/>
        <v>2241.02750328</v>
      </c>
      <c r="AF50" s="373">
        <f t="shared" si="76"/>
        <v>6001.9242884176001</v>
      </c>
      <c r="AG50" s="373">
        <f t="shared" si="58"/>
        <v>58100.713048000005</v>
      </c>
      <c r="AH50" s="376">
        <f t="shared" si="96"/>
        <v>2241.02750328</v>
      </c>
      <c r="AI50" s="373">
        <f t="shared" si="59"/>
        <v>6001.9242884176001</v>
      </c>
      <c r="AJ50" s="373">
        <f t="shared" si="60"/>
        <v>66400.814912000002</v>
      </c>
      <c r="AK50" s="376">
        <f t="shared" si="97"/>
        <v>2241.02750328</v>
      </c>
      <c r="AL50" s="373">
        <f t="shared" si="61"/>
        <v>6001.9242884176001</v>
      </c>
      <c r="AM50" s="373">
        <f t="shared" si="62"/>
        <v>74700.916775999998</v>
      </c>
      <c r="AN50" s="376">
        <f t="shared" si="99"/>
        <v>2241.02750328</v>
      </c>
      <c r="AO50" s="373">
        <f t="shared" si="63"/>
        <v>6001.9242884176001</v>
      </c>
      <c r="AP50" s="373">
        <f t="shared" si="64"/>
        <v>83001.018639999995</v>
      </c>
      <c r="AQ50" s="376">
        <f>H50*0.27</f>
        <v>2241.02750328</v>
      </c>
      <c r="AR50" s="373">
        <f t="shared" si="81"/>
        <v>6001.9242884176001</v>
      </c>
      <c r="AS50" s="373">
        <f t="shared" si="65"/>
        <v>91301.120504000006</v>
      </c>
      <c r="AT50" s="377">
        <f t="shared" ref="AT50:AT51" si="101">(AS50-88000)*0.35+(88000-AP50)*0.27</f>
        <v>2505.1171436000031</v>
      </c>
      <c r="AU50" s="373">
        <f t="shared" si="67"/>
        <v>5737.834648097597</v>
      </c>
      <c r="AV50" s="373">
        <f t="shared" si="68"/>
        <v>99601.222368000002</v>
      </c>
      <c r="AW50" s="377">
        <f t="shared" ref="AW50:AW51" si="102">H50*0.35</f>
        <v>2905.0356523999999</v>
      </c>
      <c r="AX50" s="373">
        <f t="shared" si="70"/>
        <v>5337.9161392976002</v>
      </c>
      <c r="AY50" s="292"/>
      <c r="BA50" s="358"/>
    </row>
    <row r="51" spans="1:53" ht="28.5" x14ac:dyDescent="0.45">
      <c r="A51" s="718"/>
      <c r="B51" s="394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43"/>
        <v>10991.243999999999</v>
      </c>
      <c r="G51" s="233">
        <v>359</v>
      </c>
      <c r="H51" s="353">
        <f t="shared" si="71"/>
        <v>8300.1018640000002</v>
      </c>
      <c r="I51" s="363">
        <v>0.65</v>
      </c>
      <c r="J51" s="362">
        <v>3900</v>
      </c>
      <c r="K51" s="361">
        <f t="shared" si="12"/>
        <v>6172.0828059642654</v>
      </c>
      <c r="L51" s="390">
        <v>4007.2237019103995</v>
      </c>
      <c r="M51" s="390">
        <f t="shared" si="72"/>
        <v>2164.8591040538658</v>
      </c>
      <c r="N51" s="372">
        <f t="shared" si="13"/>
        <v>57.150072302399998</v>
      </c>
      <c r="O51" s="373">
        <f t="shared" si="44"/>
        <v>8300.1018640000002</v>
      </c>
      <c r="P51" s="378">
        <f t="shared" si="94"/>
        <v>1245.0152796</v>
      </c>
      <c r="Q51" s="373">
        <f t="shared" si="46"/>
        <v>6997.9365120975999</v>
      </c>
      <c r="R51" s="373">
        <f t="shared" si="47"/>
        <v>16600.203728</v>
      </c>
      <c r="S51" s="374">
        <f t="shared" si="95"/>
        <v>1575.0254660000003</v>
      </c>
      <c r="T51" s="373">
        <f t="shared" si="48"/>
        <v>6667.9263256976001</v>
      </c>
      <c r="U51" s="373">
        <f t="shared" si="49"/>
        <v>24900.305592000001</v>
      </c>
      <c r="V51" s="374">
        <f>H51*0.2</f>
        <v>1660.0203728000001</v>
      </c>
      <c r="W51" s="373">
        <f t="shared" si="51"/>
        <v>6582.9314188976005</v>
      </c>
      <c r="X51" s="373">
        <f t="shared" si="52"/>
        <v>33200.407456000001</v>
      </c>
      <c r="Y51" s="376">
        <f t="shared" si="100"/>
        <v>2234.0488947200006</v>
      </c>
      <c r="Z51" s="373">
        <f t="shared" si="54"/>
        <v>6008.9028969775991</v>
      </c>
      <c r="AA51" s="373">
        <f t="shared" si="55"/>
        <v>41500.509319999997</v>
      </c>
      <c r="AB51" s="376">
        <f t="shared" si="56"/>
        <v>2241.02750328</v>
      </c>
      <c r="AC51" s="373">
        <f t="shared" si="74"/>
        <v>6001.9242884176001</v>
      </c>
      <c r="AD51" s="373">
        <f t="shared" si="57"/>
        <v>49800.611184000001</v>
      </c>
      <c r="AE51" s="376">
        <f t="shared" si="91"/>
        <v>2241.02750328</v>
      </c>
      <c r="AF51" s="373">
        <f t="shared" si="76"/>
        <v>6001.9242884176001</v>
      </c>
      <c r="AG51" s="373">
        <f t="shared" si="58"/>
        <v>58100.713048000005</v>
      </c>
      <c r="AH51" s="376">
        <f t="shared" si="96"/>
        <v>2241.02750328</v>
      </c>
      <c r="AI51" s="373">
        <f t="shared" si="59"/>
        <v>6001.9242884176001</v>
      </c>
      <c r="AJ51" s="373">
        <f t="shared" si="60"/>
        <v>66400.814912000002</v>
      </c>
      <c r="AK51" s="376">
        <f t="shared" si="97"/>
        <v>2241.02750328</v>
      </c>
      <c r="AL51" s="373">
        <f t="shared" si="61"/>
        <v>6001.9242884176001</v>
      </c>
      <c r="AM51" s="373">
        <f t="shared" si="62"/>
        <v>74700.916775999998</v>
      </c>
      <c r="AN51" s="376">
        <f t="shared" si="99"/>
        <v>2241.02750328</v>
      </c>
      <c r="AO51" s="373">
        <f t="shared" si="63"/>
        <v>6001.9242884176001</v>
      </c>
      <c r="AP51" s="373">
        <f t="shared" si="64"/>
        <v>83001.018639999995</v>
      </c>
      <c r="AQ51" s="376">
        <f>H51*0.27</f>
        <v>2241.02750328</v>
      </c>
      <c r="AR51" s="373">
        <f t="shared" si="81"/>
        <v>6001.9242884176001</v>
      </c>
      <c r="AS51" s="373">
        <f t="shared" si="65"/>
        <v>91301.120504000006</v>
      </c>
      <c r="AT51" s="377">
        <f t="shared" si="101"/>
        <v>2505.1171436000031</v>
      </c>
      <c r="AU51" s="373">
        <f t="shared" si="67"/>
        <v>5737.834648097597</v>
      </c>
      <c r="AV51" s="373">
        <f t="shared" si="68"/>
        <v>99601.222368000002</v>
      </c>
      <c r="AW51" s="377">
        <f t="shared" si="102"/>
        <v>2905.0356523999999</v>
      </c>
      <c r="AX51" s="373">
        <f t="shared" si="70"/>
        <v>5337.9161392976002</v>
      </c>
      <c r="AY51" s="292"/>
      <c r="BA51" s="358"/>
    </row>
    <row r="52" spans="1:53" ht="42" x14ac:dyDescent="0.45">
      <c r="A52" s="719"/>
      <c r="B52" s="392" t="s">
        <v>199</v>
      </c>
      <c r="C52" s="290">
        <v>125</v>
      </c>
      <c r="D52" s="238">
        <v>3331</v>
      </c>
      <c r="E52" s="238">
        <v>4163</v>
      </c>
      <c r="F52" s="238">
        <f t="shared" si="43"/>
        <v>7494</v>
      </c>
      <c r="G52" s="233">
        <v>359</v>
      </c>
      <c r="H52" s="353">
        <f t="shared" si="71"/>
        <v>5515.5929999999998</v>
      </c>
      <c r="I52" s="363">
        <v>0.65</v>
      </c>
      <c r="J52" s="362">
        <v>3800</v>
      </c>
      <c r="K52" s="361">
        <f t="shared" si="12"/>
        <v>4220.0724470333334</v>
      </c>
      <c r="L52" s="390">
        <v>3810.4870739999988</v>
      </c>
      <c r="M52" s="390">
        <f t="shared" si="72"/>
        <v>409.58537303333469</v>
      </c>
      <c r="N52" s="372">
        <f t="shared" si="13"/>
        <v>38.772313799999999</v>
      </c>
      <c r="O52" s="373">
        <f t="shared" si="44"/>
        <v>5515.5929999999998</v>
      </c>
      <c r="P52" s="378">
        <f t="shared" si="94"/>
        <v>827.33894999999995</v>
      </c>
      <c r="Q52" s="373">
        <f t="shared" si="46"/>
        <v>4649.4817361999994</v>
      </c>
      <c r="R52" s="373">
        <f t="shared" si="47"/>
        <v>11031.186</v>
      </c>
      <c r="S52" s="374">
        <f>(R52-10000)*0.2+(10000-O52)*0.15</f>
        <v>878.89824999999996</v>
      </c>
      <c r="T52" s="373">
        <f t="shared" si="48"/>
        <v>4597.9224361999995</v>
      </c>
      <c r="U52" s="373">
        <f t="shared" si="49"/>
        <v>16546.778999999999</v>
      </c>
      <c r="V52" s="374">
        <f>H52*0.2</f>
        <v>1103.1186</v>
      </c>
      <c r="W52" s="373">
        <f t="shared" si="51"/>
        <v>4373.7020861999999</v>
      </c>
      <c r="X52" s="373">
        <f t="shared" si="52"/>
        <v>22062.371999999999</v>
      </c>
      <c r="Y52" s="374">
        <f>H52*0.2</f>
        <v>1103.1186</v>
      </c>
      <c r="Z52" s="373">
        <f t="shared" si="54"/>
        <v>4373.7020861999999</v>
      </c>
      <c r="AA52" s="373">
        <f t="shared" si="55"/>
        <v>27577.965</v>
      </c>
      <c r="AB52" s="374">
        <f>(AA52-25000)*0.27+(25000-X52)*0.2</f>
        <v>1283.5761500000003</v>
      </c>
      <c r="AC52" s="373">
        <f t="shared" si="74"/>
        <v>4193.2445361999999</v>
      </c>
      <c r="AD52" s="373">
        <f t="shared" si="57"/>
        <v>33093.557999999997</v>
      </c>
      <c r="AE52" s="376">
        <f>(AD52-25000)*0.27+(25000-AA52)*0.2</f>
        <v>1669.6676599999994</v>
      </c>
      <c r="AF52" s="373">
        <f t="shared" si="76"/>
        <v>3807.1530262000006</v>
      </c>
      <c r="AG52" s="373">
        <f t="shared" si="58"/>
        <v>38609.150999999998</v>
      </c>
      <c r="AH52" s="376">
        <f t="shared" si="96"/>
        <v>1489.21011</v>
      </c>
      <c r="AI52" s="373">
        <f t="shared" si="59"/>
        <v>3987.6105761999997</v>
      </c>
      <c r="AJ52" s="373">
        <f t="shared" si="60"/>
        <v>44124.743999999999</v>
      </c>
      <c r="AK52" s="376">
        <f t="shared" si="97"/>
        <v>1489.21011</v>
      </c>
      <c r="AL52" s="373">
        <f t="shared" si="61"/>
        <v>3987.6105761999997</v>
      </c>
      <c r="AM52" s="373">
        <f t="shared" si="62"/>
        <v>49640.337</v>
      </c>
      <c r="AN52" s="376">
        <f t="shared" si="99"/>
        <v>1489.21011</v>
      </c>
      <c r="AO52" s="373">
        <f t="shared" si="63"/>
        <v>3987.6105761999997</v>
      </c>
      <c r="AP52" s="373">
        <f t="shared" si="64"/>
        <v>55155.93</v>
      </c>
      <c r="AQ52" s="376">
        <f>H52*0.27</f>
        <v>1489.21011</v>
      </c>
      <c r="AR52" s="373">
        <f t="shared" si="81"/>
        <v>3987.6105761999997</v>
      </c>
      <c r="AS52" s="373">
        <f t="shared" si="65"/>
        <v>60671.523000000001</v>
      </c>
      <c r="AT52" s="376">
        <f>H52*0.27</f>
        <v>1489.21011</v>
      </c>
      <c r="AU52" s="373">
        <f t="shared" si="67"/>
        <v>3987.6105761999997</v>
      </c>
      <c r="AV52" s="373">
        <f t="shared" si="68"/>
        <v>66187.115999999995</v>
      </c>
      <c r="AW52" s="376">
        <f>H52*0.27</f>
        <v>1489.21011</v>
      </c>
      <c r="AX52" s="373">
        <f t="shared" si="70"/>
        <v>3987.6105761999997</v>
      </c>
      <c r="AY52" s="292"/>
      <c r="BA52" s="358"/>
    </row>
    <row r="53" spans="1:53" ht="33.75" hidden="1" customHeight="1" x14ac:dyDescent="0.45">
      <c r="A53" s="752" t="s">
        <v>173</v>
      </c>
      <c r="B53" s="753"/>
      <c r="C53" s="241">
        <v>125</v>
      </c>
      <c r="D53" s="234">
        <v>3330.68</v>
      </c>
      <c r="E53" s="234">
        <v>4163.3499999999995</v>
      </c>
      <c r="F53" s="234">
        <f t="shared" si="43"/>
        <v>7494.0299999999988</v>
      </c>
      <c r="G53" s="233">
        <v>278</v>
      </c>
      <c r="H53" s="353">
        <f t="shared" si="71"/>
        <v>5596.4868499999993</v>
      </c>
      <c r="I53" s="363">
        <v>0.65</v>
      </c>
      <c r="J53" s="362">
        <v>3023</v>
      </c>
      <c r="K53" s="361">
        <f t="shared" si="12"/>
        <v>4294.1637872900001</v>
      </c>
      <c r="L53" s="390">
        <v>3048.4967947859991</v>
      </c>
      <c r="M53" s="390">
        <f t="shared" si="72"/>
        <v>1245.666992504001</v>
      </c>
      <c r="N53" s="372">
        <f t="shared" si="13"/>
        <v>38.771613209999998</v>
      </c>
      <c r="O53" s="373">
        <f t="shared" si="44"/>
        <v>5596.4868499999993</v>
      </c>
      <c r="P53" s="378">
        <f t="shared" si="94"/>
        <v>839.47302749999983</v>
      </c>
      <c r="Q53" s="373">
        <f t="shared" si="46"/>
        <v>4718.2422092899988</v>
      </c>
      <c r="R53" s="373">
        <f t="shared" si="47"/>
        <v>11192.973699999999</v>
      </c>
      <c r="S53" s="374">
        <f>(R53-10000)*0.2+(10000-O53)*0.15</f>
        <v>899.12171249999983</v>
      </c>
      <c r="T53" s="373">
        <f t="shared" si="48"/>
        <v>4658.5935242899996</v>
      </c>
      <c r="U53" s="373">
        <f t="shared" si="49"/>
        <v>16789.460549999996</v>
      </c>
      <c r="V53" s="374">
        <f>H53*0.2</f>
        <v>1119.29737</v>
      </c>
      <c r="W53" s="373">
        <f t="shared" si="51"/>
        <v>4438.4178667899987</v>
      </c>
      <c r="X53" s="373">
        <f t="shared" si="52"/>
        <v>22385.947399999997</v>
      </c>
      <c r="Y53" s="374">
        <f t="shared" ref="Y53:Y54" si="103">H53*0.2</f>
        <v>1119.29737</v>
      </c>
      <c r="Z53" s="373">
        <f t="shared" si="54"/>
        <v>4438.4178667899987</v>
      </c>
      <c r="AA53" s="373">
        <f t="shared" si="55"/>
        <v>27982.434249999998</v>
      </c>
      <c r="AB53" s="374">
        <f>H53*0.2</f>
        <v>1119.29737</v>
      </c>
      <c r="AC53" s="373">
        <f t="shared" si="74"/>
        <v>4438.4178667899987</v>
      </c>
      <c r="AD53" s="373">
        <f t="shared" si="57"/>
        <v>33578.921099999992</v>
      </c>
      <c r="AE53" s="374">
        <f>H53*0.2</f>
        <v>1119.29737</v>
      </c>
      <c r="AF53" s="373">
        <f t="shared" si="76"/>
        <v>4438.4178667899987</v>
      </c>
      <c r="AG53" s="373">
        <f t="shared" si="58"/>
        <v>39175.407949999993</v>
      </c>
      <c r="AH53" s="376">
        <f>(AG53-25000)*0.27+(25000-AD53)*0.2</f>
        <v>2111.5759264999997</v>
      </c>
      <c r="AI53" s="373">
        <f t="shared" si="59"/>
        <v>3446.1393102899992</v>
      </c>
      <c r="AJ53" s="373">
        <f t="shared" si="60"/>
        <v>44771.894799999995</v>
      </c>
      <c r="AK53" s="376">
        <f t="shared" si="97"/>
        <v>1511.0514495</v>
      </c>
      <c r="AL53" s="373">
        <f t="shared" si="61"/>
        <v>4046.6637872899992</v>
      </c>
      <c r="AM53" s="373">
        <f t="shared" si="62"/>
        <v>50368.381649999996</v>
      </c>
      <c r="AN53" s="376">
        <f t="shared" si="99"/>
        <v>1511.0514495</v>
      </c>
      <c r="AO53" s="373">
        <f t="shared" si="63"/>
        <v>4046.6637872899992</v>
      </c>
      <c r="AP53" s="373">
        <f t="shared" si="64"/>
        <v>55964.868499999997</v>
      </c>
      <c r="AQ53" s="376">
        <f t="shared" ref="AQ53:AQ54" si="104">H53*0.27</f>
        <v>1511.0514495</v>
      </c>
      <c r="AR53" s="373">
        <f t="shared" si="81"/>
        <v>4046.6637872899992</v>
      </c>
      <c r="AS53" s="373">
        <f t="shared" si="65"/>
        <v>61561.355349999991</v>
      </c>
      <c r="AT53" s="376">
        <f t="shared" ref="AT53:AT54" si="105">H53*0.27</f>
        <v>1511.0514495</v>
      </c>
      <c r="AU53" s="373">
        <f t="shared" si="67"/>
        <v>4046.6637872899992</v>
      </c>
      <c r="AV53" s="373">
        <f t="shared" si="68"/>
        <v>67157.842199999985</v>
      </c>
      <c r="AW53" s="376">
        <f>H53*0.27</f>
        <v>1511.0514495</v>
      </c>
      <c r="AX53" s="373">
        <f t="shared" si="70"/>
        <v>4046.6637872899992</v>
      </c>
      <c r="AY53" s="292"/>
      <c r="BA53" s="358"/>
    </row>
    <row r="54" spans="1:53" ht="29.25" hidden="1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43"/>
        <v>4996.01</v>
      </c>
      <c r="G54" s="233">
        <v>278</v>
      </c>
      <c r="H54" s="353">
        <f t="shared" si="71"/>
        <v>3746.2879999999996</v>
      </c>
      <c r="I54" s="363">
        <v>0.65</v>
      </c>
      <c r="J54" s="362">
        <v>2822</v>
      </c>
      <c r="K54" s="361">
        <f t="shared" si="12"/>
        <v>2955.7299391999991</v>
      </c>
      <c r="L54" s="390">
        <v>2921.7573390399998</v>
      </c>
      <c r="M54" s="390">
        <f t="shared" si="72"/>
        <v>33.972600159999274</v>
      </c>
      <c r="N54" s="372">
        <f t="shared" si="13"/>
        <v>26.560300799999997</v>
      </c>
      <c r="O54" s="373">
        <f t="shared" si="44"/>
        <v>3746.2879999999996</v>
      </c>
      <c r="P54" s="378">
        <f t="shared" si="94"/>
        <v>561.94319999999993</v>
      </c>
      <c r="Q54" s="373">
        <f t="shared" si="46"/>
        <v>3157.7844992</v>
      </c>
      <c r="R54" s="373">
        <f t="shared" si="47"/>
        <v>7492.5759999999991</v>
      </c>
      <c r="S54" s="378">
        <f>H54*0.15</f>
        <v>561.94319999999993</v>
      </c>
      <c r="T54" s="373">
        <f t="shared" si="48"/>
        <v>3157.7844992</v>
      </c>
      <c r="U54" s="373">
        <f t="shared" si="49"/>
        <v>11238.863999999998</v>
      </c>
      <c r="V54" s="374">
        <f>(U54-10000)*0.2+(10000-R54)*0.15</f>
        <v>623.88639999999964</v>
      </c>
      <c r="W54" s="373">
        <f t="shared" si="51"/>
        <v>3095.8412992000003</v>
      </c>
      <c r="X54" s="373">
        <f t="shared" si="52"/>
        <v>14985.151999999998</v>
      </c>
      <c r="Y54" s="374">
        <f t="shared" si="103"/>
        <v>749.25759999999991</v>
      </c>
      <c r="Z54" s="373">
        <f t="shared" si="54"/>
        <v>2970.4700991999998</v>
      </c>
      <c r="AA54" s="373">
        <f t="shared" si="55"/>
        <v>18731.439999999999</v>
      </c>
      <c r="AB54" s="374">
        <f>H54*0.2</f>
        <v>749.25759999999991</v>
      </c>
      <c r="AC54" s="373">
        <f t="shared" si="74"/>
        <v>2970.4700991999998</v>
      </c>
      <c r="AD54" s="373">
        <f t="shared" si="57"/>
        <v>22477.727999999996</v>
      </c>
      <c r="AE54" s="374">
        <f>H54*0.2</f>
        <v>749.25759999999991</v>
      </c>
      <c r="AF54" s="373">
        <f t="shared" si="76"/>
        <v>2970.4700991999998</v>
      </c>
      <c r="AG54" s="373">
        <f t="shared" si="58"/>
        <v>26224.015999999996</v>
      </c>
      <c r="AH54" s="376">
        <f>(AG54-25000)*0.27+(25000-AD54)*0.2</f>
        <v>834.93871999999988</v>
      </c>
      <c r="AI54" s="373">
        <f t="shared" si="59"/>
        <v>2884.7889791999996</v>
      </c>
      <c r="AJ54" s="373">
        <f t="shared" si="60"/>
        <v>29970.303999999996</v>
      </c>
      <c r="AK54" s="376">
        <f t="shared" si="97"/>
        <v>1011.49776</v>
      </c>
      <c r="AL54" s="373">
        <f t="shared" si="61"/>
        <v>2708.2299391999995</v>
      </c>
      <c r="AM54" s="373">
        <f t="shared" si="62"/>
        <v>33716.591999999997</v>
      </c>
      <c r="AN54" s="376">
        <f t="shared" si="99"/>
        <v>1011.49776</v>
      </c>
      <c r="AO54" s="373">
        <f t="shared" si="63"/>
        <v>2708.2299391999995</v>
      </c>
      <c r="AP54" s="373">
        <f t="shared" si="64"/>
        <v>37462.879999999997</v>
      </c>
      <c r="AQ54" s="376">
        <f t="shared" si="104"/>
        <v>1011.49776</v>
      </c>
      <c r="AR54" s="373">
        <f t="shared" si="81"/>
        <v>2708.2299391999995</v>
      </c>
      <c r="AS54" s="373">
        <f t="shared" si="65"/>
        <v>41209.167999999998</v>
      </c>
      <c r="AT54" s="376">
        <f t="shared" si="105"/>
        <v>1011.49776</v>
      </c>
      <c r="AU54" s="373">
        <f t="shared" si="67"/>
        <v>2708.2299391999995</v>
      </c>
      <c r="AV54" s="373">
        <f t="shared" si="68"/>
        <v>44955.455999999991</v>
      </c>
      <c r="AW54" s="376">
        <f>H54*0.27</f>
        <v>1011.49776</v>
      </c>
      <c r="AX54" s="373">
        <f t="shared" si="70"/>
        <v>2708.2299391999995</v>
      </c>
      <c r="AY54" s="292"/>
      <c r="BA54" s="358"/>
    </row>
    <row r="55" spans="1:53" x14ac:dyDescent="0.35">
      <c r="AN55" s="379"/>
    </row>
  </sheetData>
  <mergeCells count="11">
    <mergeCell ref="A30:A38"/>
    <mergeCell ref="A39:A46"/>
    <mergeCell ref="A47:A52"/>
    <mergeCell ref="A53:B53"/>
    <mergeCell ref="A54:B54"/>
    <mergeCell ref="A28:B28"/>
    <mergeCell ref="A1:F1"/>
    <mergeCell ref="A4:B4"/>
    <mergeCell ref="A6:A14"/>
    <mergeCell ref="A15:A23"/>
    <mergeCell ref="A24:A2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"/>
  <sheetViews>
    <sheetView topLeftCell="A4" zoomScale="80" zoomScaleNormal="80" workbookViewId="0">
      <pane ySplit="25" topLeftCell="A29" activePane="bottomLeft" state="frozen"/>
      <selection activeCell="A4" sqref="A4"/>
      <selection pane="bottomLeft" activeCell="I60" sqref="I60"/>
    </sheetView>
  </sheetViews>
  <sheetFormatPr defaultRowHeight="21" x14ac:dyDescent="0.35"/>
  <cols>
    <col min="1" max="1" width="6.7109375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3.5703125" customWidth="1"/>
    <col min="10" max="10" width="24.42578125" customWidth="1"/>
    <col min="11" max="12" width="22.85546875" customWidth="1"/>
    <col min="13" max="13" width="26" customWidth="1"/>
    <col min="14" max="14" width="13.28515625" style="130" customWidth="1"/>
    <col min="15" max="15" width="16.140625" style="130" bestFit="1" customWidth="1"/>
    <col min="16" max="16" width="14.140625" style="130" bestFit="1" customWidth="1"/>
    <col min="17" max="18" width="16.140625" style="130" bestFit="1" customWidth="1"/>
    <col min="19" max="19" width="14.140625" style="130" bestFit="1" customWidth="1"/>
    <col min="20" max="21" width="16.140625" style="130" bestFit="1" customWidth="1"/>
    <col min="22" max="22" width="14.140625" style="130" bestFit="1" customWidth="1"/>
    <col min="23" max="24" width="16.140625" style="130" bestFit="1" customWidth="1"/>
    <col min="25" max="25" width="14.140625" style="130" bestFit="1" customWidth="1"/>
    <col min="26" max="27" width="16.140625" style="130" bestFit="1" customWidth="1"/>
    <col min="28" max="28" width="14.140625" style="130" bestFit="1" customWidth="1"/>
    <col min="29" max="29" width="16.140625" style="130" bestFit="1" customWidth="1"/>
    <col min="30" max="30" width="17.7109375" style="130" bestFit="1" customWidth="1"/>
    <col min="31" max="31" width="14.140625" style="130" bestFit="1" customWidth="1"/>
    <col min="32" max="32" width="16.140625" style="130" bestFit="1" customWidth="1"/>
    <col min="33" max="33" width="17.7109375" style="130" bestFit="1" customWidth="1"/>
    <col min="34" max="34" width="14.140625" style="130" bestFit="1" customWidth="1"/>
    <col min="35" max="35" width="16.140625" style="130" bestFit="1" customWidth="1"/>
    <col min="36" max="36" width="17.7109375" style="130" bestFit="1" customWidth="1"/>
    <col min="37" max="37" width="18.7109375" style="130" customWidth="1"/>
    <col min="38" max="38" width="16.140625" style="130" bestFit="1" customWidth="1"/>
    <col min="39" max="39" width="17.7109375" style="130" bestFit="1" customWidth="1"/>
    <col min="40" max="40" width="14.140625" style="130" bestFit="1" customWidth="1"/>
    <col min="41" max="41" width="16.140625" style="130" bestFit="1" customWidth="1"/>
    <col min="42" max="42" width="17.7109375" style="130" bestFit="1" customWidth="1"/>
    <col min="43" max="43" width="15.7109375" style="130" customWidth="1"/>
    <col min="44" max="44" width="16.140625" style="130" bestFit="1" customWidth="1"/>
    <col min="45" max="45" width="17.7109375" style="130" bestFit="1" customWidth="1"/>
    <col min="46" max="46" width="14.140625" style="130" bestFit="1" customWidth="1"/>
    <col min="47" max="47" width="16.140625" style="130" bestFit="1" customWidth="1"/>
    <col min="48" max="48" width="17.7109375" style="130" bestFit="1" customWidth="1"/>
    <col min="49" max="49" width="14.140625" style="130" bestFit="1" customWidth="1"/>
    <col min="50" max="50" width="16.140625" style="130" bestFit="1" customWidth="1"/>
    <col min="53" max="53" width="17.85546875" bestFit="1" customWidth="1"/>
  </cols>
  <sheetData>
    <row r="1" spans="1:53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3" ht="24" hidden="1" thickBot="1" x14ac:dyDescent="0.4">
      <c r="A2" s="192"/>
      <c r="B2" s="2"/>
      <c r="C2" s="2"/>
      <c r="D2" s="2"/>
      <c r="E2" s="2"/>
      <c r="F2" s="2"/>
      <c r="K2" s="385"/>
      <c r="L2" s="385"/>
      <c r="M2" s="385"/>
    </row>
    <row r="3" spans="1:53" ht="27" hidden="1" thickBot="1" x14ac:dyDescent="0.4">
      <c r="A3" s="236" t="s">
        <v>1</v>
      </c>
      <c r="B3" s="4"/>
      <c r="C3" s="4"/>
      <c r="D3" s="4"/>
      <c r="E3" s="4"/>
      <c r="F3" s="4"/>
    </row>
    <row r="4" spans="1:53" ht="65.25" customHeight="1" x14ac:dyDescent="0.25">
      <c r="A4" s="726" t="s">
        <v>2</v>
      </c>
      <c r="B4" s="726"/>
      <c r="C4" s="462" t="s">
        <v>3</v>
      </c>
      <c r="D4" s="462" t="s">
        <v>229</v>
      </c>
      <c r="E4" s="462" t="s">
        <v>253</v>
      </c>
      <c r="F4" s="462" t="s">
        <v>231</v>
      </c>
      <c r="G4" s="395" t="s">
        <v>244</v>
      </c>
      <c r="H4" s="395" t="s">
        <v>249</v>
      </c>
      <c r="I4" s="352" t="s">
        <v>37</v>
      </c>
      <c r="J4" s="364" t="s">
        <v>279</v>
      </c>
      <c r="K4" s="364" t="s">
        <v>290</v>
      </c>
      <c r="L4" s="389" t="s">
        <v>289</v>
      </c>
      <c r="M4" s="476" t="s">
        <v>288</v>
      </c>
      <c r="N4" s="365" t="s">
        <v>245</v>
      </c>
      <c r="O4" s="365">
        <v>1</v>
      </c>
      <c r="P4" s="365" t="s">
        <v>255</v>
      </c>
      <c r="Q4" s="365" t="s">
        <v>267</v>
      </c>
      <c r="R4" s="365">
        <v>2</v>
      </c>
      <c r="S4" s="365" t="s">
        <v>256</v>
      </c>
      <c r="T4" s="365" t="s">
        <v>268</v>
      </c>
      <c r="U4" s="365">
        <v>3</v>
      </c>
      <c r="V4" s="365" t="s">
        <v>257</v>
      </c>
      <c r="W4" s="365" t="s">
        <v>278</v>
      </c>
      <c r="X4" s="365">
        <v>4</v>
      </c>
      <c r="Y4" s="365" t="s">
        <v>258</v>
      </c>
      <c r="Z4" s="365" t="s">
        <v>277</v>
      </c>
      <c r="AA4" s="365">
        <v>5</v>
      </c>
      <c r="AB4" s="365" t="s">
        <v>259</v>
      </c>
      <c r="AC4" s="365" t="s">
        <v>276</v>
      </c>
      <c r="AD4" s="365">
        <v>6</v>
      </c>
      <c r="AE4" s="365" t="s">
        <v>260</v>
      </c>
      <c r="AF4" s="365" t="s">
        <v>275</v>
      </c>
      <c r="AG4" s="365">
        <v>7</v>
      </c>
      <c r="AH4" s="365" t="s">
        <v>261</v>
      </c>
      <c r="AI4" s="365" t="s">
        <v>274</v>
      </c>
      <c r="AJ4" s="365">
        <v>8</v>
      </c>
      <c r="AK4" s="365" t="s">
        <v>262</v>
      </c>
      <c r="AL4" s="365" t="s">
        <v>273</v>
      </c>
      <c r="AM4" s="365">
        <v>9</v>
      </c>
      <c r="AN4" s="365" t="s">
        <v>263</v>
      </c>
      <c r="AO4" s="365" t="s">
        <v>272</v>
      </c>
      <c r="AP4" s="365">
        <v>10</v>
      </c>
      <c r="AQ4" s="365" t="s">
        <v>264</v>
      </c>
      <c r="AR4" s="365" t="s">
        <v>271</v>
      </c>
      <c r="AS4" s="365">
        <v>11</v>
      </c>
      <c r="AT4" s="365" t="s">
        <v>265</v>
      </c>
      <c r="AU4" s="365" t="s">
        <v>270</v>
      </c>
      <c r="AV4" s="365">
        <v>12</v>
      </c>
      <c r="AW4" s="366" t="s">
        <v>266</v>
      </c>
      <c r="AX4" s="366" t="s">
        <v>269</v>
      </c>
    </row>
    <row r="5" spans="1:53" s="233" customFormat="1" ht="33.75" hidden="1" customHeight="1" x14ac:dyDescent="0.45">
      <c r="A5" s="229"/>
      <c r="B5" s="346"/>
      <c r="C5" s="231"/>
      <c r="D5" s="231"/>
      <c r="E5" s="231"/>
      <c r="F5" s="231"/>
      <c r="H5" s="357">
        <v>0.93</v>
      </c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1"/>
    </row>
    <row r="6" spans="1:53" s="233" customFormat="1" ht="30" hidden="1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18227.499739999999</v>
      </c>
      <c r="I6" s="463">
        <v>0.7</v>
      </c>
      <c r="J6" s="362">
        <v>12600</v>
      </c>
      <c r="K6" s="361">
        <f>((Q6+T6+W6+Z6+AC6+AF6+AI6+AL6+AO6+AR6+AU6+AX6)/12)+60</f>
        <v>12559.370599382668</v>
      </c>
      <c r="L6" s="390"/>
      <c r="M6" s="390">
        <f t="shared" ref="M6:M28" si="0">K6/0.93</f>
        <v>13504.699569228675</v>
      </c>
      <c r="N6" s="372">
        <f>(H6+G6)*0.0066</f>
        <v>122.67089828399999</v>
      </c>
      <c r="O6" s="373">
        <f>$H6*O$4</f>
        <v>18227.499739999999</v>
      </c>
      <c r="P6" s="374">
        <f>(O6-10000)*0.2+10000*0.15</f>
        <v>3145.4999479999997</v>
      </c>
      <c r="Q6" s="373">
        <f>H6-N6-P6</f>
        <v>14959.328893716</v>
      </c>
      <c r="R6" s="373">
        <f>$H6*2</f>
        <v>36454.999479999999</v>
      </c>
      <c r="S6" s="376">
        <f>(R6-25000)*0.27+4500-P6</f>
        <v>4447.3499116000003</v>
      </c>
      <c r="T6" s="373">
        <f>H6-N6-S6</f>
        <v>13657.478930116</v>
      </c>
      <c r="U6" s="373">
        <f t="shared" ref="U6:U28" si="1">H6*3</f>
        <v>54682.499219999998</v>
      </c>
      <c r="V6" s="376">
        <f>O6*0.27</f>
        <v>4921.4249298000004</v>
      </c>
      <c r="W6" s="373">
        <f>H6-N6-V6</f>
        <v>13183.403911916001</v>
      </c>
      <c r="X6" s="373">
        <f t="shared" ref="X6:X28" si="2">H6*4</f>
        <v>72909.998959999997</v>
      </c>
      <c r="Y6" s="376">
        <f t="shared" ref="Y6:Y22" si="3">H6*0.27</f>
        <v>4921.4249298000004</v>
      </c>
      <c r="Z6" s="373">
        <f>H6-N6-Y6</f>
        <v>13183.403911916001</v>
      </c>
      <c r="AA6" s="373">
        <f t="shared" ref="AA6:AA28" si="4">H6*5</f>
        <v>91137.498699999996</v>
      </c>
      <c r="AB6" s="377">
        <f>(AA6-88000)*0.35+(88000-X6)*0.27</f>
        <v>5172.4248257999998</v>
      </c>
      <c r="AC6" s="373">
        <f>H6-N6-AB6</f>
        <v>12932.404015915999</v>
      </c>
      <c r="AD6" s="373">
        <f t="shared" ref="AD6:AD28" si="5">H6*6</f>
        <v>109364.99844</v>
      </c>
      <c r="AE6" s="377">
        <f>$H$6*0.35</f>
        <v>6379.6249089999992</v>
      </c>
      <c r="AF6" s="373">
        <f>H6-N6-AE6</f>
        <v>11725.203932716002</v>
      </c>
      <c r="AG6" s="373">
        <f t="shared" ref="AG6:AG28" si="6">H6*7</f>
        <v>127592.49818</v>
      </c>
      <c r="AH6" s="377">
        <f>$H$6*0.35</f>
        <v>6379.6249089999992</v>
      </c>
      <c r="AI6" s="373">
        <f>H6-N6-AH6</f>
        <v>11725.203932716002</v>
      </c>
      <c r="AJ6" s="373">
        <f t="shared" ref="AJ6:AJ28" si="7">H6*8</f>
        <v>145819.99791999999</v>
      </c>
      <c r="AK6" s="377">
        <f>$H$6*0.35</f>
        <v>6379.6249089999992</v>
      </c>
      <c r="AL6" s="373">
        <f>H6-N6-AK6</f>
        <v>11725.203932716002</v>
      </c>
      <c r="AM6" s="373">
        <f t="shared" ref="AM6:AM28" si="8">H6*9</f>
        <v>164047.49765999999</v>
      </c>
      <c r="AN6" s="377">
        <f>$H$6*0.35</f>
        <v>6379.6249089999992</v>
      </c>
      <c r="AO6" s="373">
        <f>H6-N6-AN6</f>
        <v>11725.203932716002</v>
      </c>
      <c r="AP6" s="373">
        <f t="shared" ref="AP6:AP28" si="9">H6*10</f>
        <v>182274.99739999999</v>
      </c>
      <c r="AQ6" s="377">
        <f>$H$6*0.35</f>
        <v>6379.6249089999992</v>
      </c>
      <c r="AR6" s="373">
        <f>H6-N6-AQ6</f>
        <v>11725.203932716002</v>
      </c>
      <c r="AS6" s="373">
        <f t="shared" ref="AS6:AS28" si="10">H6*11</f>
        <v>200502.49713999999</v>
      </c>
      <c r="AT6" s="377">
        <f>$H$6*0.35</f>
        <v>6379.6249089999992</v>
      </c>
      <c r="AU6" s="373">
        <f>AR6</f>
        <v>11725.203932716002</v>
      </c>
      <c r="AV6" s="373">
        <f t="shared" ref="AV6:AV28" si="11">H6*12</f>
        <v>218729.99687999999</v>
      </c>
      <c r="AW6" s="377">
        <f>$H$6*0.35</f>
        <v>6379.6249089999992</v>
      </c>
      <c r="AX6" s="373">
        <f>H6-N6-AW6</f>
        <v>11725.203932716002</v>
      </c>
      <c r="AY6" s="371"/>
      <c r="BA6" s="358"/>
    </row>
    <row r="7" spans="1:53" s="233" customFormat="1" ht="30" hidden="1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11924.021305999999</v>
      </c>
      <c r="I7" s="363">
        <v>0.33</v>
      </c>
      <c r="J7" s="362">
        <v>8500</v>
      </c>
      <c r="K7" s="361">
        <f t="shared" ref="K7:K54" si="12">((Q7+T7+W7+Z7+AC7+AF7+AI7+AL7+AO7+AR7+AU7+AX7)/12)+60</f>
        <v>8503.712574947067</v>
      </c>
      <c r="L7" s="390"/>
      <c r="M7" s="390">
        <f t="shared" si="0"/>
        <v>9143.7769623086733</v>
      </c>
      <c r="N7" s="372">
        <f t="shared" ref="N7:N54" si="13">(H7+G7)*0.0066</f>
        <v>81.067940619599995</v>
      </c>
      <c r="O7" s="373">
        <f t="shared" ref="O7:O28" si="14">$H7*O$4</f>
        <v>11924.021305999999</v>
      </c>
      <c r="P7" s="374">
        <f>(O7-10000)*0.2+1500</f>
        <v>1884.8042611999997</v>
      </c>
      <c r="Q7" s="373">
        <f>H7-N7-P7</f>
        <v>9958.1491041804002</v>
      </c>
      <c r="R7" s="373">
        <f t="shared" ref="R7:R28" si="15">$H7*2</f>
        <v>23848.042611999997</v>
      </c>
      <c r="S7" s="374">
        <f>H7*0.2</f>
        <v>2384.8042611999999</v>
      </c>
      <c r="T7" s="373">
        <f>H7-N7-S7</f>
        <v>9458.1491041804002</v>
      </c>
      <c r="U7" s="373">
        <f t="shared" si="1"/>
        <v>35772.063918</v>
      </c>
      <c r="V7" s="376">
        <f>(25000-R7)*0.2+(U7-25000)*0.27</f>
        <v>3138.8487354600006</v>
      </c>
      <c r="W7" s="373">
        <f t="shared" ref="W7:W28" si="16">H7-N7-V7</f>
        <v>8704.104629920399</v>
      </c>
      <c r="X7" s="373">
        <f t="shared" si="2"/>
        <v>47696.085223999995</v>
      </c>
      <c r="Y7" s="376">
        <f t="shared" si="3"/>
        <v>3219.4857526199999</v>
      </c>
      <c r="Z7" s="373">
        <f>H7-N7-Y7</f>
        <v>8623.4676127603998</v>
      </c>
      <c r="AA7" s="373">
        <f t="shared" si="4"/>
        <v>59620.10652999999</v>
      </c>
      <c r="AB7" s="376">
        <f t="shared" ref="AB7:AB24" si="17">H7*0.27</f>
        <v>3219.4857526199999</v>
      </c>
      <c r="AC7" s="373">
        <f t="shared" ref="AC7:AC28" si="18">H7-N7-AB7</f>
        <v>8623.4676127603998</v>
      </c>
      <c r="AD7" s="373">
        <f t="shared" si="5"/>
        <v>71544.127836</v>
      </c>
      <c r="AE7" s="376">
        <f t="shared" ref="AE7:AE14" si="19">H7*0.27</f>
        <v>3219.4857526199999</v>
      </c>
      <c r="AF7" s="373">
        <f t="shared" ref="AF7:AF28" si="20">H7-N7-AE7</f>
        <v>8623.4676127603998</v>
      </c>
      <c r="AG7" s="373">
        <f t="shared" si="6"/>
        <v>83468.149141999995</v>
      </c>
      <c r="AH7" s="376">
        <f>H7*0.27</f>
        <v>3219.4857526199999</v>
      </c>
      <c r="AI7" s="373">
        <f t="shared" ref="AI7:AI28" si="21">H7-N7-AH7</f>
        <v>8623.4676127603998</v>
      </c>
      <c r="AJ7" s="373">
        <f t="shared" si="7"/>
        <v>95392.17044799999</v>
      </c>
      <c r="AK7" s="377">
        <f>(AJ7-88000)*0.35+(88000-AG7)*0.27</f>
        <v>3810.8593884599977</v>
      </c>
      <c r="AL7" s="373">
        <f t="shared" ref="AL7:AL28" si="22">H7-N7-AK7</f>
        <v>8032.0939769204015</v>
      </c>
      <c r="AM7" s="373">
        <f t="shared" si="8"/>
        <v>107316.19175399998</v>
      </c>
      <c r="AN7" s="377">
        <f>H7*0.35</f>
        <v>4173.4074570999992</v>
      </c>
      <c r="AO7" s="373">
        <f t="shared" ref="AO7:AO28" si="23">H7-N7-AN7</f>
        <v>7669.5459082804</v>
      </c>
      <c r="AP7" s="373">
        <f t="shared" si="9"/>
        <v>119240.21305999998</v>
      </c>
      <c r="AQ7" s="377">
        <f t="shared" ref="AQ7:AQ12" si="24">H7*0.35</f>
        <v>4173.4074570999992</v>
      </c>
      <c r="AR7" s="373">
        <f t="shared" ref="AR7:AR28" si="25">H7-N7-AQ7</f>
        <v>7669.5459082804</v>
      </c>
      <c r="AS7" s="373">
        <f t="shared" si="10"/>
        <v>131164.23436599999</v>
      </c>
      <c r="AT7" s="377">
        <f t="shared" ref="AT7:AT22" si="26">H7*0.35</f>
        <v>4173.4074570999992</v>
      </c>
      <c r="AU7" s="373">
        <f>$H$7-$N$7-AT7</f>
        <v>7669.5459082804</v>
      </c>
      <c r="AV7" s="373">
        <f t="shared" si="11"/>
        <v>143088.255672</v>
      </c>
      <c r="AW7" s="377">
        <f t="shared" ref="AW7" si="27">AT7</f>
        <v>4173.4074570999992</v>
      </c>
      <c r="AX7" s="373">
        <f t="shared" ref="AX7:AX28" si="28">H7-N7-AW7</f>
        <v>7669.5459082804</v>
      </c>
      <c r="AY7" s="371"/>
      <c r="BA7" s="358"/>
    </row>
    <row r="8" spans="1:53" s="233" customFormat="1" ht="30" hidden="1" customHeight="1" x14ac:dyDescent="0.45">
      <c r="A8" s="728"/>
      <c r="B8" s="461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29">D8+E8*$H$5*$I8-G8</f>
        <v>9709.2856400000001</v>
      </c>
      <c r="I8" s="363">
        <v>0.2</v>
      </c>
      <c r="J8" s="362">
        <v>7066</v>
      </c>
      <c r="K8" s="361">
        <f t="shared" si="12"/>
        <v>7078.7516474426657</v>
      </c>
      <c r="L8" s="390"/>
      <c r="M8" s="390">
        <f t="shared" si="0"/>
        <v>7611.560911228672</v>
      </c>
      <c r="N8" s="372">
        <f t="shared" si="13"/>
        <v>66.450685223999997</v>
      </c>
      <c r="O8" s="373">
        <f t="shared" si="14"/>
        <v>9709.2856400000001</v>
      </c>
      <c r="P8" s="378">
        <f>H8*0.15</f>
        <v>1456.392846</v>
      </c>
      <c r="Q8" s="373">
        <f>$H$8-$N$8-P8</f>
        <v>8186.4421087760011</v>
      </c>
      <c r="R8" s="373">
        <f t="shared" si="15"/>
        <v>19418.57128</v>
      </c>
      <c r="S8" s="374">
        <f t="shared" ref="S8" si="30">(R8-10000)*0.2+(10000-O8)*0.15</f>
        <v>1927.3214100000002</v>
      </c>
      <c r="T8" s="373">
        <f>$H$8-$N$8-S8</f>
        <v>7715.5135447760003</v>
      </c>
      <c r="U8" s="373">
        <f t="shared" si="1"/>
        <v>29127.856919999998</v>
      </c>
      <c r="V8" s="376">
        <f>(U8-25000)*0.27+(25000-R8)*0.2</f>
        <v>2230.8071123999998</v>
      </c>
      <c r="W8" s="373">
        <f t="shared" si="16"/>
        <v>7412.027842376001</v>
      </c>
      <c r="X8" s="373">
        <f t="shared" si="2"/>
        <v>38837.14256</v>
      </c>
      <c r="Y8" s="376">
        <f t="shared" si="3"/>
        <v>2621.5071228000002</v>
      </c>
      <c r="Z8" s="373">
        <f>$H$8-$N$8-Y8</f>
        <v>7021.3278319760011</v>
      </c>
      <c r="AA8" s="373">
        <f t="shared" si="4"/>
        <v>48546.428200000002</v>
      </c>
      <c r="AB8" s="376">
        <f t="shared" si="17"/>
        <v>2621.5071228000002</v>
      </c>
      <c r="AC8" s="373">
        <f t="shared" si="18"/>
        <v>7021.3278319760011</v>
      </c>
      <c r="AD8" s="373">
        <f t="shared" si="5"/>
        <v>58255.713839999997</v>
      </c>
      <c r="AE8" s="376">
        <f t="shared" si="19"/>
        <v>2621.5071228000002</v>
      </c>
      <c r="AF8" s="373">
        <f t="shared" si="20"/>
        <v>7021.3278319760011</v>
      </c>
      <c r="AG8" s="373">
        <f t="shared" si="6"/>
        <v>67964.999479999999</v>
      </c>
      <c r="AH8" s="376">
        <f>H8*0.27</f>
        <v>2621.5071228000002</v>
      </c>
      <c r="AI8" s="373">
        <f t="shared" si="21"/>
        <v>7021.3278319760011</v>
      </c>
      <c r="AJ8" s="373">
        <f t="shared" si="7"/>
        <v>77674.28512</v>
      </c>
      <c r="AK8" s="376">
        <f>H8*0.27</f>
        <v>2621.5071228000002</v>
      </c>
      <c r="AL8" s="373">
        <f t="shared" si="22"/>
        <v>7021.3278319760011</v>
      </c>
      <c r="AM8" s="373">
        <f t="shared" si="8"/>
        <v>87383.570760000002</v>
      </c>
      <c r="AN8" s="377">
        <f>(AM8-88000)*0.35+(88000-AJ8)*0.27</f>
        <v>2572.1927836000009</v>
      </c>
      <c r="AO8" s="373">
        <f t="shared" si="23"/>
        <v>7070.6421711759995</v>
      </c>
      <c r="AP8" s="373">
        <f t="shared" si="9"/>
        <v>97092.856400000004</v>
      </c>
      <c r="AQ8" s="377">
        <f t="shared" si="24"/>
        <v>3398.2499739999998</v>
      </c>
      <c r="AR8" s="373">
        <f t="shared" si="25"/>
        <v>6244.5849807760005</v>
      </c>
      <c r="AS8" s="373">
        <f t="shared" si="10"/>
        <v>106802.14204000001</v>
      </c>
      <c r="AT8" s="377">
        <f t="shared" si="26"/>
        <v>3398.2499739999998</v>
      </c>
      <c r="AU8" s="373">
        <f>$H$8-$N$8-AT8</f>
        <v>6244.5849807760005</v>
      </c>
      <c r="AV8" s="373">
        <f t="shared" si="11"/>
        <v>116511.42767999999</v>
      </c>
      <c r="AW8" s="377">
        <f t="shared" ref="AW8:AW22" si="31">H8*0.35</f>
        <v>3398.2499739999998</v>
      </c>
      <c r="AX8" s="373">
        <f t="shared" si="28"/>
        <v>6244.5849807760005</v>
      </c>
      <c r="AY8" s="371"/>
      <c r="BA8" s="358"/>
    </row>
    <row r="9" spans="1:53" s="233" customFormat="1" ht="30" hidden="1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32">D9+E9</f>
        <v>19983.72</v>
      </c>
      <c r="G9" s="233">
        <v>359</v>
      </c>
      <c r="H9" s="353">
        <f t="shared" si="29"/>
        <v>14107.781648</v>
      </c>
      <c r="I9" s="363">
        <v>0.63</v>
      </c>
      <c r="J9" s="362">
        <v>9900</v>
      </c>
      <c r="K9" s="361">
        <f t="shared" si="12"/>
        <v>9908.743978989869</v>
      </c>
      <c r="L9" s="390"/>
      <c r="M9" s="390">
        <f t="shared" si="0"/>
        <v>10654.563418268675</v>
      </c>
      <c r="N9" s="372">
        <f t="shared" si="13"/>
        <v>95.480758876799996</v>
      </c>
      <c r="O9" s="373">
        <f t="shared" si="14"/>
        <v>14107.781648</v>
      </c>
      <c r="P9" s="374">
        <f t="shared" ref="P9:P20" si="33">(O9-10000)*0.2+10000*0.15</f>
        <v>2321.5563296</v>
      </c>
      <c r="Q9" s="373">
        <f>H9-P9-N9</f>
        <v>11690.7445595232</v>
      </c>
      <c r="R9" s="373">
        <f t="shared" si="15"/>
        <v>28215.563296</v>
      </c>
      <c r="S9" s="376">
        <f>(R9-25000)*0.27+(25000-O9)*0.2</f>
        <v>3046.6457603200001</v>
      </c>
      <c r="T9" s="373">
        <f>$H$9-$N$9-S9</f>
        <v>10965.655128803201</v>
      </c>
      <c r="U9" s="373">
        <f t="shared" si="1"/>
        <v>42323.344943999997</v>
      </c>
      <c r="V9" s="376">
        <f t="shared" ref="V9:V10" si="34">O9*0.27</f>
        <v>3809.1010449600003</v>
      </c>
      <c r="W9" s="373">
        <f t="shared" si="16"/>
        <v>10203.1998441632</v>
      </c>
      <c r="X9" s="373">
        <f t="shared" si="2"/>
        <v>56431.126592000001</v>
      </c>
      <c r="Y9" s="376">
        <f t="shared" si="3"/>
        <v>3809.1010449600003</v>
      </c>
      <c r="Z9" s="373">
        <f>$H$9-$N$9-Y9</f>
        <v>10203.1998441632</v>
      </c>
      <c r="AA9" s="373">
        <f t="shared" si="4"/>
        <v>70538.908240000004</v>
      </c>
      <c r="AB9" s="376">
        <f t="shared" si="17"/>
        <v>3809.1010449600003</v>
      </c>
      <c r="AC9" s="373">
        <f t="shared" si="18"/>
        <v>10203.1998441632</v>
      </c>
      <c r="AD9" s="373">
        <f t="shared" si="5"/>
        <v>84646.689887999994</v>
      </c>
      <c r="AE9" s="376">
        <f t="shared" si="19"/>
        <v>3809.1010449600003</v>
      </c>
      <c r="AF9" s="373">
        <f t="shared" si="20"/>
        <v>10203.1998441632</v>
      </c>
      <c r="AG9" s="373">
        <f t="shared" si="6"/>
        <v>98754.471535999997</v>
      </c>
      <c r="AH9" s="377">
        <f>(AG9-88000)*0.35+(88000-AD9)*0.27</f>
        <v>4669.4587678400003</v>
      </c>
      <c r="AI9" s="373">
        <f t="shared" si="21"/>
        <v>9342.8421212832</v>
      </c>
      <c r="AJ9" s="373">
        <f t="shared" si="7"/>
        <v>112862.253184</v>
      </c>
      <c r="AK9" s="377">
        <f>H9*0.35</f>
        <v>4937.7235768</v>
      </c>
      <c r="AL9" s="373">
        <f t="shared" si="22"/>
        <v>9074.5773123231993</v>
      </c>
      <c r="AM9" s="373">
        <f t="shared" si="8"/>
        <v>126970.034832</v>
      </c>
      <c r="AN9" s="377">
        <f>H9*0.35</f>
        <v>4937.7235768</v>
      </c>
      <c r="AO9" s="373">
        <f t="shared" si="23"/>
        <v>9074.5773123231993</v>
      </c>
      <c r="AP9" s="373">
        <f t="shared" si="9"/>
        <v>141077.81648000001</v>
      </c>
      <c r="AQ9" s="377">
        <f t="shared" si="24"/>
        <v>4937.7235768</v>
      </c>
      <c r="AR9" s="373">
        <f t="shared" si="25"/>
        <v>9074.5773123231993</v>
      </c>
      <c r="AS9" s="373">
        <f t="shared" si="10"/>
        <v>155185.59812800001</v>
      </c>
      <c r="AT9" s="377">
        <f t="shared" si="26"/>
        <v>4937.7235768</v>
      </c>
      <c r="AU9" s="373">
        <f>$H$9-$N$9-AT9</f>
        <v>9074.5773123231993</v>
      </c>
      <c r="AV9" s="373">
        <f t="shared" si="11"/>
        <v>169293.37977599999</v>
      </c>
      <c r="AW9" s="377">
        <f t="shared" si="31"/>
        <v>4937.7235768</v>
      </c>
      <c r="AX9" s="373">
        <f t="shared" si="28"/>
        <v>9074.5773123231993</v>
      </c>
      <c r="AY9" s="371"/>
      <c r="BA9" s="358"/>
    </row>
    <row r="10" spans="1:53" s="233" customFormat="1" ht="30" hidden="1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32"/>
        <v>19983.72</v>
      </c>
      <c r="G10" s="233">
        <v>359</v>
      </c>
      <c r="H10" s="353">
        <f t="shared" si="29"/>
        <v>12497.0648</v>
      </c>
      <c r="I10" s="463">
        <v>0.5</v>
      </c>
      <c r="J10" s="362">
        <v>8900</v>
      </c>
      <c r="K10" s="361">
        <f t="shared" si="12"/>
        <v>8872.3745149866663</v>
      </c>
      <c r="L10" s="390"/>
      <c r="M10" s="390">
        <f t="shared" si="0"/>
        <v>9540.1876505232958</v>
      </c>
      <c r="N10" s="372">
        <f t="shared" si="13"/>
        <v>84.850027679999997</v>
      </c>
      <c r="O10" s="373">
        <f t="shared" si="14"/>
        <v>12497.0648</v>
      </c>
      <c r="P10" s="374">
        <f t="shared" si="33"/>
        <v>1999.4129600000001</v>
      </c>
      <c r="Q10" s="373">
        <f>$H$10-$N$10-P10</f>
        <v>10412.80181232</v>
      </c>
      <c r="R10" s="373">
        <f t="shared" si="15"/>
        <v>24994.1296</v>
      </c>
      <c r="S10" s="376">
        <f>H10*0.2</f>
        <v>2499.4129600000001</v>
      </c>
      <c r="T10" s="373">
        <f>$H$10-$N$10-S10</f>
        <v>9912.80181232</v>
      </c>
      <c r="U10" s="373">
        <f t="shared" si="1"/>
        <v>37491.1944</v>
      </c>
      <c r="V10" s="376">
        <f t="shared" si="34"/>
        <v>3374.2074960000004</v>
      </c>
      <c r="W10" s="373">
        <f t="shared" si="16"/>
        <v>9038.0072763199987</v>
      </c>
      <c r="X10" s="373">
        <f t="shared" si="2"/>
        <v>49988.2592</v>
      </c>
      <c r="Y10" s="376">
        <f t="shared" si="3"/>
        <v>3374.2074960000004</v>
      </c>
      <c r="Z10" s="373">
        <f>$H$10-$N$10-Y10</f>
        <v>9038.0072763199987</v>
      </c>
      <c r="AA10" s="373">
        <f t="shared" si="4"/>
        <v>62485.324000000001</v>
      </c>
      <c r="AB10" s="376">
        <f t="shared" si="17"/>
        <v>3374.2074960000004</v>
      </c>
      <c r="AC10" s="373">
        <f t="shared" si="18"/>
        <v>9038.0072763199987</v>
      </c>
      <c r="AD10" s="373">
        <f t="shared" si="5"/>
        <v>74982.388800000001</v>
      </c>
      <c r="AE10" s="376">
        <f t="shared" si="19"/>
        <v>3374.2074960000004</v>
      </c>
      <c r="AF10" s="373">
        <f t="shared" si="20"/>
        <v>9038.0072763199987</v>
      </c>
      <c r="AG10" s="373">
        <f t="shared" si="6"/>
        <v>87479.453600000008</v>
      </c>
      <c r="AH10" s="376">
        <f>H10*0.27</f>
        <v>3374.2074960000004</v>
      </c>
      <c r="AI10" s="373">
        <f t="shared" si="21"/>
        <v>9038.0072763199987</v>
      </c>
      <c r="AJ10" s="373">
        <f t="shared" si="7"/>
        <v>99976.518400000001</v>
      </c>
      <c r="AK10" s="377">
        <f>(AJ10-88000)*0.35+(88000-AG10)*0.27</f>
        <v>4332.328967999998</v>
      </c>
      <c r="AL10" s="373">
        <f t="shared" si="22"/>
        <v>8079.8858043200016</v>
      </c>
      <c r="AM10" s="373">
        <f t="shared" si="8"/>
        <v>112473.58319999999</v>
      </c>
      <c r="AN10" s="377">
        <f>H10*0.35</f>
        <v>4373.9726799999999</v>
      </c>
      <c r="AO10" s="373">
        <f t="shared" si="23"/>
        <v>8038.2420923199998</v>
      </c>
      <c r="AP10" s="373">
        <f t="shared" si="9"/>
        <v>124970.648</v>
      </c>
      <c r="AQ10" s="377">
        <f t="shared" si="24"/>
        <v>4373.9726799999999</v>
      </c>
      <c r="AR10" s="373">
        <f t="shared" si="25"/>
        <v>8038.2420923199998</v>
      </c>
      <c r="AS10" s="373">
        <f t="shared" si="10"/>
        <v>137467.71280000001</v>
      </c>
      <c r="AT10" s="377">
        <f t="shared" si="26"/>
        <v>4373.9726799999999</v>
      </c>
      <c r="AU10" s="373">
        <f>$H$10-$N$10-AT10</f>
        <v>8038.2420923199998</v>
      </c>
      <c r="AV10" s="373">
        <f t="shared" si="11"/>
        <v>149964.7776</v>
      </c>
      <c r="AW10" s="377">
        <f t="shared" si="31"/>
        <v>4373.9726799999999</v>
      </c>
      <c r="AX10" s="373">
        <f t="shared" si="28"/>
        <v>8038.2420923199998</v>
      </c>
      <c r="AY10" s="371"/>
      <c r="BA10" s="358"/>
    </row>
    <row r="11" spans="1:53" s="233" customFormat="1" ht="30" hidden="1" customHeight="1" x14ac:dyDescent="0.45">
      <c r="A11" s="728"/>
      <c r="B11" s="461" t="s">
        <v>234</v>
      </c>
      <c r="C11" s="231">
        <v>300</v>
      </c>
      <c r="D11" s="238">
        <v>6661</v>
      </c>
      <c r="E11" s="234">
        <v>9992.0399999999991</v>
      </c>
      <c r="F11" s="234">
        <f t="shared" si="32"/>
        <v>16653.04</v>
      </c>
      <c r="G11" s="233">
        <v>359</v>
      </c>
      <c r="H11" s="353">
        <f t="shared" si="29"/>
        <v>10204.890824</v>
      </c>
      <c r="I11" s="463">
        <v>0.42</v>
      </c>
      <c r="J11" s="362">
        <v>7400</v>
      </c>
      <c r="K11" s="361">
        <f t="shared" si="12"/>
        <v>7397.624022828265</v>
      </c>
      <c r="L11" s="390"/>
      <c r="M11" s="390">
        <f t="shared" si="0"/>
        <v>7954.4344331486718</v>
      </c>
      <c r="N11" s="372">
        <f t="shared" si="13"/>
        <v>69.721679438400002</v>
      </c>
      <c r="O11" s="373">
        <f t="shared" si="14"/>
        <v>10204.890824</v>
      </c>
      <c r="P11" s="374">
        <f t="shared" si="33"/>
        <v>1540.9781648000001</v>
      </c>
      <c r="Q11" s="373">
        <f>$H$11-$N$11-P11</f>
        <v>8594.190979761599</v>
      </c>
      <c r="R11" s="373">
        <f t="shared" si="15"/>
        <v>20409.781648</v>
      </c>
      <c r="S11" s="374">
        <f>H11*0.2</f>
        <v>2040.9781648000001</v>
      </c>
      <c r="T11" s="373">
        <f>$H$11-$N$11-S11</f>
        <v>8094.1909797615999</v>
      </c>
      <c r="U11" s="373">
        <f t="shared" si="1"/>
        <v>30614.672471999998</v>
      </c>
      <c r="V11" s="376">
        <f>(U11-25000)*0.27+(25000-R11)*0.2</f>
        <v>2434.0052378399996</v>
      </c>
      <c r="W11" s="373">
        <f t="shared" si="16"/>
        <v>7701.1639067216001</v>
      </c>
      <c r="X11" s="373">
        <f t="shared" si="2"/>
        <v>40819.563296</v>
      </c>
      <c r="Y11" s="376">
        <f t="shared" si="3"/>
        <v>2755.3205224800004</v>
      </c>
      <c r="Z11" s="373">
        <f>$H$11-$N$11-Y11</f>
        <v>7379.8486220815994</v>
      </c>
      <c r="AA11" s="373">
        <f t="shared" si="4"/>
        <v>51024.454120000002</v>
      </c>
      <c r="AB11" s="376">
        <f t="shared" si="17"/>
        <v>2755.3205224800004</v>
      </c>
      <c r="AC11" s="373">
        <f t="shared" si="18"/>
        <v>7379.8486220815994</v>
      </c>
      <c r="AD11" s="373">
        <f t="shared" si="5"/>
        <v>61229.344943999997</v>
      </c>
      <c r="AE11" s="376">
        <f t="shared" si="19"/>
        <v>2755.3205224800004</v>
      </c>
      <c r="AF11" s="373">
        <f t="shared" si="20"/>
        <v>7379.8486220815994</v>
      </c>
      <c r="AG11" s="373">
        <f t="shared" si="6"/>
        <v>71434.235767999999</v>
      </c>
      <c r="AH11" s="376">
        <f>H11*0.27</f>
        <v>2755.3205224800004</v>
      </c>
      <c r="AI11" s="373">
        <f t="shared" si="21"/>
        <v>7379.8486220815994</v>
      </c>
      <c r="AJ11" s="373">
        <f t="shared" si="7"/>
        <v>81639.126592000001</v>
      </c>
      <c r="AK11" s="376">
        <f>H11*0.27</f>
        <v>2755.3205224800004</v>
      </c>
      <c r="AL11" s="373">
        <f t="shared" si="22"/>
        <v>7379.8486220815994</v>
      </c>
      <c r="AM11" s="373">
        <f t="shared" si="8"/>
        <v>91844.017416000002</v>
      </c>
      <c r="AN11" s="377">
        <f>(AM11-88000)*0.35+(88000-AJ11)*0.27</f>
        <v>3062.841915760001</v>
      </c>
      <c r="AO11" s="373">
        <f t="shared" si="23"/>
        <v>7072.3272288015987</v>
      </c>
      <c r="AP11" s="373">
        <f t="shared" si="9"/>
        <v>102048.90824</v>
      </c>
      <c r="AQ11" s="377">
        <f t="shared" si="24"/>
        <v>3571.7117883999999</v>
      </c>
      <c r="AR11" s="373">
        <f t="shared" si="25"/>
        <v>6563.4573561615998</v>
      </c>
      <c r="AS11" s="373">
        <f t="shared" si="10"/>
        <v>112253.79906400001</v>
      </c>
      <c r="AT11" s="377">
        <f t="shared" si="26"/>
        <v>3571.7117883999999</v>
      </c>
      <c r="AU11" s="373">
        <f>$H$11-$N$11-AT11</f>
        <v>6563.4573561615998</v>
      </c>
      <c r="AV11" s="373">
        <f t="shared" si="11"/>
        <v>122458.68988799999</v>
      </c>
      <c r="AW11" s="377">
        <f t="shared" si="31"/>
        <v>3571.7117883999999</v>
      </c>
      <c r="AX11" s="373">
        <f t="shared" si="28"/>
        <v>6563.4573561615998</v>
      </c>
      <c r="AY11" s="371"/>
      <c r="BA11" s="358"/>
    </row>
    <row r="12" spans="1:53" s="380" customFormat="1" ht="30" hidden="1" customHeight="1" x14ac:dyDescent="0.45">
      <c r="A12" s="728"/>
      <c r="B12" s="461" t="s">
        <v>236</v>
      </c>
      <c r="C12" s="231">
        <v>300</v>
      </c>
      <c r="D12" s="238">
        <v>6661</v>
      </c>
      <c r="E12" s="234">
        <v>9992.0399999999991</v>
      </c>
      <c r="F12" s="234">
        <f t="shared" si="32"/>
        <v>16653.04</v>
      </c>
      <c r="G12" s="233">
        <v>359</v>
      </c>
      <c r="H12" s="353">
        <f t="shared" si="29"/>
        <v>9926.1129079999992</v>
      </c>
      <c r="I12" s="463">
        <v>0.39</v>
      </c>
      <c r="J12" s="362">
        <v>7200</v>
      </c>
      <c r="K12" s="361">
        <f t="shared" si="12"/>
        <v>7218.2583116738651</v>
      </c>
      <c r="L12" s="390"/>
      <c r="M12" s="390">
        <f t="shared" si="0"/>
        <v>7761.5680770686722</v>
      </c>
      <c r="N12" s="372">
        <f t="shared" si="13"/>
        <v>67.881745192799997</v>
      </c>
      <c r="O12" s="373">
        <f t="shared" si="14"/>
        <v>9926.1129079999992</v>
      </c>
      <c r="P12" s="378">
        <f>(O12*0.15)</f>
        <v>1488.9169361999998</v>
      </c>
      <c r="Q12" s="373">
        <f>$H$12-$N$12-P12</f>
        <v>8369.3142266071991</v>
      </c>
      <c r="R12" s="373">
        <f t="shared" si="15"/>
        <v>19852.225815999998</v>
      </c>
      <c r="S12" s="374">
        <f>(R12-10000)*0.2+(10000-O12)*0.15</f>
        <v>1981.528227</v>
      </c>
      <c r="T12" s="373">
        <f>$H$12-$N$12-S12</f>
        <v>7876.7029358071986</v>
      </c>
      <c r="U12" s="373">
        <f t="shared" si="1"/>
        <v>29778.338723999997</v>
      </c>
      <c r="V12" s="382">
        <f>(U12-25000)*0.27+(25000-R12)*0.2</f>
        <v>2319.7062922799996</v>
      </c>
      <c r="W12" s="373">
        <f t="shared" si="16"/>
        <v>7538.5248705271988</v>
      </c>
      <c r="X12" s="373">
        <f t="shared" si="2"/>
        <v>39704.451631999997</v>
      </c>
      <c r="Y12" s="382">
        <f t="shared" si="3"/>
        <v>2680.0504851599999</v>
      </c>
      <c r="Z12" s="373">
        <f>$H$12-$N$12-Y12</f>
        <v>7178.1806776471985</v>
      </c>
      <c r="AA12" s="373">
        <f t="shared" si="4"/>
        <v>49630.564539999992</v>
      </c>
      <c r="AB12" s="382">
        <f t="shared" si="17"/>
        <v>2680.0504851599999</v>
      </c>
      <c r="AC12" s="373">
        <f t="shared" si="18"/>
        <v>7178.1806776471985</v>
      </c>
      <c r="AD12" s="373">
        <f t="shared" si="5"/>
        <v>59556.677447999995</v>
      </c>
      <c r="AE12" s="382">
        <f t="shared" si="19"/>
        <v>2680.0504851599999</v>
      </c>
      <c r="AF12" s="373">
        <f t="shared" si="20"/>
        <v>7178.1806776471985</v>
      </c>
      <c r="AG12" s="373">
        <f t="shared" si="6"/>
        <v>69482.790355999998</v>
      </c>
      <c r="AH12" s="382">
        <f>H12*0.27</f>
        <v>2680.0504851599999</v>
      </c>
      <c r="AI12" s="373">
        <f t="shared" si="21"/>
        <v>7178.1806776471985</v>
      </c>
      <c r="AJ12" s="373">
        <f t="shared" si="7"/>
        <v>79408.903263999993</v>
      </c>
      <c r="AK12" s="376">
        <f>H12*0.27</f>
        <v>2680.0504851599999</v>
      </c>
      <c r="AL12" s="373">
        <f t="shared" si="22"/>
        <v>7178.1806776471985</v>
      </c>
      <c r="AM12" s="373">
        <f t="shared" si="8"/>
        <v>89335.016171999989</v>
      </c>
      <c r="AN12" s="377">
        <f>(AM12-88000)*0.35+(88000-AJ12)*0.27</f>
        <v>2786.8517789199977</v>
      </c>
      <c r="AO12" s="373">
        <f t="shared" si="23"/>
        <v>7071.3793838872007</v>
      </c>
      <c r="AP12" s="373">
        <f t="shared" si="9"/>
        <v>99261.129079999984</v>
      </c>
      <c r="AQ12" s="383">
        <f t="shared" si="24"/>
        <v>3474.1395177999993</v>
      </c>
      <c r="AR12" s="373">
        <f t="shared" si="25"/>
        <v>6384.0916450071991</v>
      </c>
      <c r="AS12" s="373">
        <f t="shared" si="10"/>
        <v>109187.24198799999</v>
      </c>
      <c r="AT12" s="383">
        <f t="shared" si="26"/>
        <v>3474.1395177999993</v>
      </c>
      <c r="AU12" s="373">
        <f>$H$12-$N$12-AT12</f>
        <v>6384.0916450071991</v>
      </c>
      <c r="AV12" s="373">
        <f t="shared" si="11"/>
        <v>119113.35489599999</v>
      </c>
      <c r="AW12" s="383">
        <f t="shared" si="31"/>
        <v>3474.1395177999993</v>
      </c>
      <c r="AX12" s="373">
        <f t="shared" si="28"/>
        <v>6384.0916450071991</v>
      </c>
      <c r="AY12" s="384"/>
      <c r="BA12" s="358"/>
    </row>
    <row r="13" spans="1:53" s="233" customFormat="1" ht="30" hidden="1" customHeight="1" x14ac:dyDescent="0.45">
      <c r="A13" s="728"/>
      <c r="B13" s="461" t="s">
        <v>235</v>
      </c>
      <c r="C13" s="231">
        <v>300</v>
      </c>
      <c r="D13" s="238">
        <v>6661</v>
      </c>
      <c r="E13" s="234">
        <v>9992.0399999999991</v>
      </c>
      <c r="F13" s="234">
        <f t="shared" si="32"/>
        <v>16653.04</v>
      </c>
      <c r="G13" s="233">
        <v>359</v>
      </c>
      <c r="H13" s="353">
        <f t="shared" si="29"/>
        <v>9275.6311040000001</v>
      </c>
      <c r="I13" s="463">
        <v>0.32</v>
      </c>
      <c r="J13" s="362">
        <v>6800</v>
      </c>
      <c r="K13" s="361">
        <f t="shared" si="12"/>
        <v>6799.7383189802667</v>
      </c>
      <c r="L13" s="390"/>
      <c r="M13" s="390">
        <f t="shared" si="0"/>
        <v>7311.5465795486734</v>
      </c>
      <c r="N13" s="372">
        <f t="shared" si="13"/>
        <v>63.588565286399998</v>
      </c>
      <c r="O13" s="373">
        <f t="shared" si="14"/>
        <v>9275.6311040000001</v>
      </c>
      <c r="P13" s="378">
        <f>(O13*0.15)</f>
        <v>1391.3446655999999</v>
      </c>
      <c r="Q13" s="373">
        <f>$H$13-$N$13-P13</f>
        <v>7820.6978731136005</v>
      </c>
      <c r="R13" s="373">
        <f t="shared" si="15"/>
        <v>18551.262208</v>
      </c>
      <c r="S13" s="374">
        <f>(R13-10000)*0.2+(10000-O13)*0.15</f>
        <v>1818.907776</v>
      </c>
      <c r="T13" s="373">
        <f>$H$13-$N$13-S13</f>
        <v>7393.1347627136001</v>
      </c>
      <c r="U13" s="373">
        <f t="shared" si="1"/>
        <v>27826.893312</v>
      </c>
      <c r="V13" s="376">
        <f>(U13-25000)*0.27+(25000-R13)*0.2</f>
        <v>2053.0087526400002</v>
      </c>
      <c r="W13" s="373">
        <f t="shared" si="16"/>
        <v>7159.0337860735999</v>
      </c>
      <c r="X13" s="373">
        <f t="shared" si="2"/>
        <v>37102.524416</v>
      </c>
      <c r="Y13" s="376">
        <f t="shared" si="3"/>
        <v>2504.4203980800003</v>
      </c>
      <c r="Z13" s="373">
        <f>$H$13-$N$13-Y13</f>
        <v>6707.6221406335999</v>
      </c>
      <c r="AA13" s="373">
        <f t="shared" si="4"/>
        <v>46378.15552</v>
      </c>
      <c r="AB13" s="376">
        <f t="shared" si="17"/>
        <v>2504.4203980800003</v>
      </c>
      <c r="AC13" s="373">
        <f t="shared" si="18"/>
        <v>6707.6221406335999</v>
      </c>
      <c r="AD13" s="373">
        <f t="shared" si="5"/>
        <v>55653.786624</v>
      </c>
      <c r="AE13" s="376">
        <f t="shared" si="19"/>
        <v>2504.4203980800003</v>
      </c>
      <c r="AF13" s="373">
        <f t="shared" si="20"/>
        <v>6707.6221406335999</v>
      </c>
      <c r="AG13" s="373">
        <f t="shared" si="6"/>
        <v>64929.417728</v>
      </c>
      <c r="AH13" s="376">
        <f>H13*0.27</f>
        <v>2504.4203980800003</v>
      </c>
      <c r="AI13" s="373">
        <f t="shared" si="21"/>
        <v>6707.6221406335999</v>
      </c>
      <c r="AJ13" s="373">
        <f t="shared" si="7"/>
        <v>74205.048832</v>
      </c>
      <c r="AK13" s="376">
        <f>H13*0.27</f>
        <v>2504.4203980800003</v>
      </c>
      <c r="AL13" s="373">
        <f t="shared" si="22"/>
        <v>6707.6221406335999</v>
      </c>
      <c r="AM13" s="373">
        <f t="shared" si="8"/>
        <v>83480.679936</v>
      </c>
      <c r="AN13" s="376">
        <f>H13*0.27</f>
        <v>2504.4203980800003</v>
      </c>
      <c r="AO13" s="373">
        <f t="shared" si="23"/>
        <v>6707.6221406335999</v>
      </c>
      <c r="AP13" s="373">
        <f t="shared" si="9"/>
        <v>92756.311040000001</v>
      </c>
      <c r="AQ13" s="377">
        <f>(AP13-88000)*0.35+(88000-AM13)*0.27</f>
        <v>2884.92528128</v>
      </c>
      <c r="AR13" s="373">
        <f t="shared" si="25"/>
        <v>6327.1172574335997</v>
      </c>
      <c r="AS13" s="373">
        <f t="shared" si="10"/>
        <v>102031.942144</v>
      </c>
      <c r="AT13" s="377">
        <f t="shared" si="26"/>
        <v>3246.4708863999999</v>
      </c>
      <c r="AU13" s="373">
        <f>$H$13-$N$13-AT13</f>
        <v>5965.5716523135998</v>
      </c>
      <c r="AV13" s="373">
        <f t="shared" si="11"/>
        <v>111307.573248</v>
      </c>
      <c r="AW13" s="377">
        <f t="shared" si="31"/>
        <v>3246.4708863999999</v>
      </c>
      <c r="AX13" s="373">
        <f t="shared" si="28"/>
        <v>5965.5716523135998</v>
      </c>
      <c r="AY13" s="371"/>
      <c r="BA13" s="358"/>
    </row>
    <row r="14" spans="1:53" s="233" customFormat="1" ht="30" hidden="1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32"/>
        <v>16653.04</v>
      </c>
      <c r="G14" s="233">
        <v>359</v>
      </c>
      <c r="H14" s="353">
        <f t="shared" si="29"/>
        <v>8346.371384</v>
      </c>
      <c r="I14" s="463">
        <v>0.22</v>
      </c>
      <c r="J14" s="362">
        <v>6200</v>
      </c>
      <c r="K14" s="361">
        <f t="shared" si="12"/>
        <v>6201.8526151322667</v>
      </c>
      <c r="L14" s="390"/>
      <c r="M14" s="390">
        <f t="shared" si="0"/>
        <v>6668.6587259486732</v>
      </c>
      <c r="N14" s="372">
        <f t="shared" si="13"/>
        <v>57.455451134400001</v>
      </c>
      <c r="O14" s="373">
        <f t="shared" si="14"/>
        <v>8346.371384</v>
      </c>
      <c r="P14" s="378">
        <f>(O14*0.15)</f>
        <v>1251.9557075999999</v>
      </c>
      <c r="Q14" s="373">
        <f>$H$14-$N$14-P14</f>
        <v>7036.9602252656005</v>
      </c>
      <c r="R14" s="373">
        <f t="shared" si="15"/>
        <v>16692.742768</v>
      </c>
      <c r="S14" s="374">
        <f>(R14-10000)*0.2+(10000-O14)*0.15</f>
        <v>1586.592846</v>
      </c>
      <c r="T14" s="373">
        <f>$H$14-$N$14-S14</f>
        <v>6702.323086865601</v>
      </c>
      <c r="U14" s="373">
        <f t="shared" si="1"/>
        <v>25039.114152000002</v>
      </c>
      <c r="V14" s="376">
        <f>(U14-25000)*0.27+(25000-R14)*0.2</f>
        <v>1672.0122674400006</v>
      </c>
      <c r="W14" s="373">
        <f t="shared" si="16"/>
        <v>6616.9036654255997</v>
      </c>
      <c r="X14" s="373">
        <f t="shared" si="2"/>
        <v>33385.485536</v>
      </c>
      <c r="Y14" s="376">
        <f t="shared" si="3"/>
        <v>2253.5202736800002</v>
      </c>
      <c r="Z14" s="373">
        <f>$H$14-$N$14-Y14</f>
        <v>6035.3956591856004</v>
      </c>
      <c r="AA14" s="373">
        <f t="shared" si="4"/>
        <v>41731.856919999998</v>
      </c>
      <c r="AB14" s="376">
        <f t="shared" si="17"/>
        <v>2253.5202736800002</v>
      </c>
      <c r="AC14" s="373">
        <f t="shared" si="18"/>
        <v>6035.3956591856004</v>
      </c>
      <c r="AD14" s="373">
        <f t="shared" si="5"/>
        <v>50078.228304000004</v>
      </c>
      <c r="AE14" s="376">
        <f t="shared" si="19"/>
        <v>2253.5202736800002</v>
      </c>
      <c r="AF14" s="373">
        <f t="shared" si="20"/>
        <v>6035.3956591856004</v>
      </c>
      <c r="AG14" s="373">
        <f t="shared" si="6"/>
        <v>58424.599688000002</v>
      </c>
      <c r="AH14" s="376">
        <f>H14*0.27</f>
        <v>2253.5202736800002</v>
      </c>
      <c r="AI14" s="373">
        <f t="shared" si="21"/>
        <v>6035.3956591856004</v>
      </c>
      <c r="AJ14" s="373">
        <f t="shared" si="7"/>
        <v>66770.971072</v>
      </c>
      <c r="AK14" s="376">
        <f>H14*0.27</f>
        <v>2253.5202736800002</v>
      </c>
      <c r="AL14" s="373">
        <f t="shared" si="22"/>
        <v>6035.3956591856004</v>
      </c>
      <c r="AM14" s="373">
        <f t="shared" si="8"/>
        <v>75117.342455999998</v>
      </c>
      <c r="AN14" s="376">
        <f>H14*0.27</f>
        <v>2253.5202736800002</v>
      </c>
      <c r="AO14" s="373">
        <f t="shared" si="23"/>
        <v>6035.3956591856004</v>
      </c>
      <c r="AP14" s="373">
        <f t="shared" si="9"/>
        <v>83463.713839999997</v>
      </c>
      <c r="AQ14" s="376">
        <f>H14*0.27</f>
        <v>2253.5202736800002</v>
      </c>
      <c r="AR14" s="373">
        <f t="shared" si="25"/>
        <v>6035.3956591856004</v>
      </c>
      <c r="AS14" s="373">
        <f t="shared" si="10"/>
        <v>91810.085223999995</v>
      </c>
      <c r="AT14" s="377">
        <f>(AS14-88000)*0.35+(88000-AP14)*0.27</f>
        <v>2558.3270915999992</v>
      </c>
      <c r="AU14" s="373">
        <f>$H$14-$N$14-AT14</f>
        <v>5730.5888412656013</v>
      </c>
      <c r="AV14" s="373">
        <f t="shared" si="11"/>
        <v>100156.45660800001</v>
      </c>
      <c r="AW14" s="377">
        <f t="shared" si="31"/>
        <v>2921.2299843999999</v>
      </c>
      <c r="AX14" s="373">
        <f t="shared" si="28"/>
        <v>5367.6859484656006</v>
      </c>
      <c r="AY14" s="371"/>
      <c r="BA14" s="358"/>
    </row>
    <row r="15" spans="1:53" s="233" customFormat="1" ht="30" hidden="1" customHeight="1" x14ac:dyDescent="0.45">
      <c r="A15" s="730" t="s">
        <v>15</v>
      </c>
      <c r="B15" s="461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32"/>
        <v>24980.1</v>
      </c>
      <c r="G15" s="233">
        <v>359</v>
      </c>
      <c r="H15" s="353">
        <f t="shared" si="29"/>
        <v>17089.100247999999</v>
      </c>
      <c r="I15" s="463">
        <v>0.67</v>
      </c>
      <c r="J15" s="362">
        <v>11900</v>
      </c>
      <c r="K15" s="361">
        <f t="shared" si="12"/>
        <v>11826.924366229863</v>
      </c>
      <c r="L15" s="390"/>
      <c r="M15" s="390">
        <f t="shared" si="0"/>
        <v>12717.122974440712</v>
      </c>
      <c r="N15" s="372">
        <f t="shared" si="13"/>
        <v>115.15746163679999</v>
      </c>
      <c r="O15" s="373">
        <f t="shared" si="14"/>
        <v>17089.100247999999</v>
      </c>
      <c r="P15" s="374">
        <f t="shared" si="33"/>
        <v>2917.8200495999999</v>
      </c>
      <c r="Q15" s="373">
        <f>$H$15-$N$15-P15</f>
        <v>14056.122736763198</v>
      </c>
      <c r="R15" s="373">
        <f t="shared" si="15"/>
        <v>34178.200495999998</v>
      </c>
      <c r="S15" s="376">
        <f>(R15-25000)*0.27+(25000-O15)*0.2</f>
        <v>4060.2940843199995</v>
      </c>
      <c r="T15" s="373">
        <f>$H$15-$N$15-S15</f>
        <v>12913.648702043198</v>
      </c>
      <c r="U15" s="373">
        <f t="shared" si="1"/>
        <v>51267.300743999993</v>
      </c>
      <c r="V15" s="376">
        <f>H15*0.27</f>
        <v>4614.0570669600002</v>
      </c>
      <c r="W15" s="373">
        <f t="shared" si="16"/>
        <v>12359.885719403197</v>
      </c>
      <c r="X15" s="373">
        <f t="shared" si="2"/>
        <v>68356.400991999995</v>
      </c>
      <c r="Y15" s="376">
        <f t="shared" si="3"/>
        <v>4614.0570669600002</v>
      </c>
      <c r="Z15" s="373">
        <f>$H$15-$N$15-Y15</f>
        <v>12359.885719403197</v>
      </c>
      <c r="AA15" s="373">
        <f t="shared" si="4"/>
        <v>85445.501239999998</v>
      </c>
      <c r="AB15" s="376">
        <f t="shared" si="17"/>
        <v>4614.0570669600002</v>
      </c>
      <c r="AC15" s="373">
        <f t="shared" si="18"/>
        <v>12359.885719403197</v>
      </c>
      <c r="AD15" s="373">
        <f t="shared" si="5"/>
        <v>102534.60148799999</v>
      </c>
      <c r="AE15" s="377">
        <f>(AD15-88000)*0.35+(88000-AA15)*0.27</f>
        <v>5776.8251859999955</v>
      </c>
      <c r="AF15" s="373">
        <f t="shared" si="20"/>
        <v>11197.117600363203</v>
      </c>
      <c r="AG15" s="373">
        <f t="shared" si="6"/>
        <v>119623.70173599999</v>
      </c>
      <c r="AH15" s="377">
        <f>H15*0.35</f>
        <v>5981.1850867999992</v>
      </c>
      <c r="AI15" s="373">
        <f t="shared" si="21"/>
        <v>10992.757699563197</v>
      </c>
      <c r="AJ15" s="373">
        <f t="shared" si="7"/>
        <v>136712.80198399999</v>
      </c>
      <c r="AK15" s="377">
        <f>H15*0.35</f>
        <v>5981.1850867999992</v>
      </c>
      <c r="AL15" s="373">
        <f t="shared" si="22"/>
        <v>10992.757699563197</v>
      </c>
      <c r="AM15" s="373">
        <f t="shared" si="8"/>
        <v>153801.90223199999</v>
      </c>
      <c r="AN15" s="377">
        <f>H15*0.35</f>
        <v>5981.1850867999992</v>
      </c>
      <c r="AO15" s="373">
        <f t="shared" si="23"/>
        <v>10992.757699563197</v>
      </c>
      <c r="AP15" s="373">
        <f t="shared" si="9"/>
        <v>170891.00248</v>
      </c>
      <c r="AQ15" s="377">
        <f>H15*0.35</f>
        <v>5981.1850867999992</v>
      </c>
      <c r="AR15" s="373">
        <f t="shared" si="25"/>
        <v>10992.757699563197</v>
      </c>
      <c r="AS15" s="373">
        <f t="shared" si="10"/>
        <v>187980.102728</v>
      </c>
      <c r="AT15" s="377">
        <f t="shared" si="26"/>
        <v>5981.1850867999992</v>
      </c>
      <c r="AU15" s="373">
        <f>$H$15-$N$15-AT15</f>
        <v>10992.757699563197</v>
      </c>
      <c r="AV15" s="373">
        <f t="shared" si="11"/>
        <v>205069.20297599997</v>
      </c>
      <c r="AW15" s="377">
        <f t="shared" si="31"/>
        <v>5981.1850867999992</v>
      </c>
      <c r="AX15" s="373">
        <f t="shared" si="28"/>
        <v>10992.757699563197</v>
      </c>
      <c r="AY15" s="371"/>
      <c r="BA15" s="358"/>
    </row>
    <row r="16" spans="1:53" s="233" customFormat="1" ht="30" hidden="1" customHeight="1" x14ac:dyDescent="0.45">
      <c r="A16" s="730"/>
      <c r="B16" s="461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32"/>
        <v>24980.1</v>
      </c>
      <c r="G16" s="233">
        <v>359</v>
      </c>
      <c r="H16" s="353">
        <f t="shared" si="29"/>
        <v>11141.838039999999</v>
      </c>
      <c r="I16" s="363">
        <v>0.35</v>
      </c>
      <c r="J16" s="362">
        <v>8000</v>
      </c>
      <c r="K16" s="361">
        <f t="shared" si="12"/>
        <v>8000.4558616026688</v>
      </c>
      <c r="L16" s="390"/>
      <c r="M16" s="390">
        <f t="shared" si="0"/>
        <v>8602.6407114007179</v>
      </c>
      <c r="N16" s="372">
        <f t="shared" si="13"/>
        <v>75.905531063999987</v>
      </c>
      <c r="O16" s="373">
        <f t="shared" si="14"/>
        <v>11141.838039999999</v>
      </c>
      <c r="P16" s="374">
        <f t="shared" si="33"/>
        <v>1728.3676079999998</v>
      </c>
      <c r="Q16" s="373">
        <f>$H$16-$N$16-P16</f>
        <v>9337.5649009359986</v>
      </c>
      <c r="R16" s="373">
        <f t="shared" si="15"/>
        <v>22283.676079999997</v>
      </c>
      <c r="S16" s="374">
        <f>H16*0.2</f>
        <v>2228.367608</v>
      </c>
      <c r="T16" s="373">
        <f>$H$16-$N$16-S16</f>
        <v>8837.5649009359986</v>
      </c>
      <c r="U16" s="373">
        <f t="shared" si="1"/>
        <v>33425.514119999993</v>
      </c>
      <c r="V16" s="376">
        <f>(U16-25000)*0.27+(25000-R16)*0.2</f>
        <v>2818.1535963999986</v>
      </c>
      <c r="W16" s="373">
        <f t="shared" si="16"/>
        <v>8247.7789125359996</v>
      </c>
      <c r="X16" s="373">
        <f t="shared" si="2"/>
        <v>44567.352159999995</v>
      </c>
      <c r="Y16" s="376">
        <f t="shared" si="3"/>
        <v>3008.2962708</v>
      </c>
      <c r="Z16" s="373">
        <f>$H$16-$N$16-Y16</f>
        <v>8057.6362381359995</v>
      </c>
      <c r="AA16" s="373">
        <f t="shared" si="4"/>
        <v>55709.190199999997</v>
      </c>
      <c r="AB16" s="376">
        <f t="shared" si="17"/>
        <v>3008.2962708</v>
      </c>
      <c r="AC16" s="373">
        <f t="shared" si="18"/>
        <v>8057.6362381359995</v>
      </c>
      <c r="AD16" s="373">
        <f t="shared" si="5"/>
        <v>66851.028239999985</v>
      </c>
      <c r="AE16" s="376">
        <f t="shared" ref="AE16:AE26" si="35">H16*0.27</f>
        <v>3008.2962708</v>
      </c>
      <c r="AF16" s="373">
        <f t="shared" si="20"/>
        <v>8057.6362381359995</v>
      </c>
      <c r="AG16" s="373">
        <f t="shared" si="6"/>
        <v>77992.866279999987</v>
      </c>
      <c r="AH16" s="376">
        <f>H16*0.27</f>
        <v>3008.2962708</v>
      </c>
      <c r="AI16" s="373">
        <f t="shared" si="21"/>
        <v>8057.6362381359995</v>
      </c>
      <c r="AJ16" s="373">
        <f t="shared" si="7"/>
        <v>89134.70431999999</v>
      </c>
      <c r="AK16" s="377">
        <f>(AJ16-88000)*0.35+(88000-AG16)*0.27</f>
        <v>3099.0726163999998</v>
      </c>
      <c r="AL16" s="373">
        <f t="shared" si="22"/>
        <v>7966.8598925359993</v>
      </c>
      <c r="AM16" s="373">
        <f t="shared" si="8"/>
        <v>100276.54235999999</v>
      </c>
      <c r="AN16" s="377">
        <f>H16*0.35</f>
        <v>3899.6433139999995</v>
      </c>
      <c r="AO16" s="373">
        <f t="shared" si="23"/>
        <v>7166.2891949360001</v>
      </c>
      <c r="AP16" s="373">
        <f t="shared" si="9"/>
        <v>111418.38039999999</v>
      </c>
      <c r="AQ16" s="377">
        <f>H16*0.35</f>
        <v>3899.6433139999995</v>
      </c>
      <c r="AR16" s="373">
        <f t="shared" si="25"/>
        <v>7166.2891949360001</v>
      </c>
      <c r="AS16" s="373">
        <f t="shared" si="10"/>
        <v>122560.21843999998</v>
      </c>
      <c r="AT16" s="377">
        <f t="shared" si="26"/>
        <v>3899.6433139999995</v>
      </c>
      <c r="AU16" s="373">
        <f>$H$16-$N$16-AT16</f>
        <v>7166.2891949360001</v>
      </c>
      <c r="AV16" s="373">
        <f t="shared" si="11"/>
        <v>133702.05647999997</v>
      </c>
      <c r="AW16" s="377">
        <f t="shared" si="31"/>
        <v>3899.6433139999995</v>
      </c>
      <c r="AX16" s="373">
        <f t="shared" si="28"/>
        <v>7166.2891949360001</v>
      </c>
      <c r="AY16" s="371"/>
      <c r="BA16" s="358"/>
    </row>
    <row r="17" spans="1:53" s="233" customFormat="1" ht="30" hidden="1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32"/>
        <v>24980.1</v>
      </c>
      <c r="G17" s="233">
        <v>359</v>
      </c>
      <c r="H17" s="353">
        <f t="shared" si="29"/>
        <v>9283.3185999999987</v>
      </c>
      <c r="I17" s="363">
        <v>0.25</v>
      </c>
      <c r="J17" s="362">
        <v>6804</v>
      </c>
      <c r="K17" s="361">
        <f t="shared" si="12"/>
        <v>6804.684453906666</v>
      </c>
      <c r="L17" s="390"/>
      <c r="M17" s="390">
        <f t="shared" si="0"/>
        <v>7316.8650042007157</v>
      </c>
      <c r="N17" s="372">
        <f t="shared" si="13"/>
        <v>63.639302759999993</v>
      </c>
      <c r="O17" s="373">
        <f t="shared" si="14"/>
        <v>9283.3185999999987</v>
      </c>
      <c r="P17" s="378">
        <f>O17*0.15</f>
        <v>1392.4977899999997</v>
      </c>
      <c r="Q17" s="373">
        <f>$H$17-$N$17-P17</f>
        <v>7827.1815072399986</v>
      </c>
      <c r="R17" s="373">
        <f t="shared" si="15"/>
        <v>18566.637199999997</v>
      </c>
      <c r="S17" s="374">
        <f>(R17-10000)*0.2+(10000-O17)*0.15</f>
        <v>1820.8296499999997</v>
      </c>
      <c r="T17" s="373">
        <f>$H$17-$N$17-S17</f>
        <v>7398.8496472399984</v>
      </c>
      <c r="U17" s="373">
        <f t="shared" si="1"/>
        <v>27849.955799999996</v>
      </c>
      <c r="V17" s="376">
        <f>(U17-25000)*0.27+(25000-R17)*0.2</f>
        <v>2056.1606259999999</v>
      </c>
      <c r="W17" s="373">
        <f t="shared" si="16"/>
        <v>7163.5186712399982</v>
      </c>
      <c r="X17" s="373">
        <f t="shared" si="2"/>
        <v>37133.274399999995</v>
      </c>
      <c r="Y17" s="376">
        <f t="shared" si="3"/>
        <v>2506.4960219999998</v>
      </c>
      <c r="Z17" s="373">
        <f>$H$17-$N$17-Y17</f>
        <v>6713.1832752399987</v>
      </c>
      <c r="AA17" s="373">
        <f t="shared" si="4"/>
        <v>46416.592999999993</v>
      </c>
      <c r="AB17" s="376">
        <f t="shared" si="17"/>
        <v>2506.4960219999998</v>
      </c>
      <c r="AC17" s="373">
        <f t="shared" si="18"/>
        <v>6713.1832752399987</v>
      </c>
      <c r="AD17" s="373">
        <f t="shared" si="5"/>
        <v>55699.911599999992</v>
      </c>
      <c r="AE17" s="376">
        <f t="shared" si="35"/>
        <v>2506.4960219999998</v>
      </c>
      <c r="AF17" s="373">
        <f t="shared" si="20"/>
        <v>6713.1832752399987</v>
      </c>
      <c r="AG17" s="373">
        <f t="shared" si="6"/>
        <v>64983.230199999991</v>
      </c>
      <c r="AH17" s="376">
        <f>H17*0.27</f>
        <v>2506.4960219999998</v>
      </c>
      <c r="AI17" s="373">
        <f t="shared" si="21"/>
        <v>6713.1832752399987</v>
      </c>
      <c r="AJ17" s="373">
        <f t="shared" si="7"/>
        <v>74266.54879999999</v>
      </c>
      <c r="AK17" s="376">
        <f>H17*0.27</f>
        <v>2506.4960219999998</v>
      </c>
      <c r="AL17" s="373">
        <f t="shared" si="22"/>
        <v>6713.1832752399987</v>
      </c>
      <c r="AM17" s="373">
        <f t="shared" si="8"/>
        <v>83549.867399999988</v>
      </c>
      <c r="AN17" s="376">
        <f>H17*0.27</f>
        <v>2506.4960219999998</v>
      </c>
      <c r="AO17" s="373">
        <f t="shared" si="23"/>
        <v>6713.1832752399987</v>
      </c>
      <c r="AP17" s="373">
        <f t="shared" si="9"/>
        <v>92833.185999999987</v>
      </c>
      <c r="AQ17" s="377">
        <f>(AP17-88000)*0.35+(88000-AM17)*0.27</f>
        <v>2893.1509019999985</v>
      </c>
      <c r="AR17" s="373">
        <f t="shared" si="25"/>
        <v>6326.5283952399996</v>
      </c>
      <c r="AS17" s="373">
        <f t="shared" si="10"/>
        <v>102116.50459999999</v>
      </c>
      <c r="AT17" s="377">
        <f t="shared" si="26"/>
        <v>3249.1615099999995</v>
      </c>
      <c r="AU17" s="373">
        <f>$H$17-$N$17-AT17</f>
        <v>5970.5177872399981</v>
      </c>
      <c r="AV17" s="373">
        <f t="shared" si="11"/>
        <v>111399.82319999998</v>
      </c>
      <c r="AW17" s="377">
        <f t="shared" si="31"/>
        <v>3249.1615099999995</v>
      </c>
      <c r="AX17" s="373">
        <f t="shared" si="28"/>
        <v>5970.5177872399981</v>
      </c>
      <c r="AY17" s="371"/>
      <c r="BA17" s="358"/>
    </row>
    <row r="18" spans="1:53" s="233" customFormat="1" ht="30" hidden="1" customHeight="1" x14ac:dyDescent="0.45">
      <c r="A18" s="730"/>
      <c r="B18" s="461" t="s">
        <v>32</v>
      </c>
      <c r="C18" s="231">
        <v>450</v>
      </c>
      <c r="D18" s="234">
        <v>4996.0199999999995</v>
      </c>
      <c r="E18" s="234">
        <v>14988.06</v>
      </c>
      <c r="F18" s="234">
        <f t="shared" si="32"/>
        <v>19984.079999999998</v>
      </c>
      <c r="G18" s="233">
        <v>359</v>
      </c>
      <c r="H18" s="353">
        <f t="shared" si="29"/>
        <v>13418.524354000001</v>
      </c>
      <c r="I18" s="463">
        <v>0.63</v>
      </c>
      <c r="J18" s="362">
        <v>9500</v>
      </c>
      <c r="K18" s="361">
        <f t="shared" si="12"/>
        <v>9465.2758360302669</v>
      </c>
      <c r="L18" s="390"/>
      <c r="M18" s="390">
        <f t="shared" si="0"/>
        <v>10177.715952720717</v>
      </c>
      <c r="N18" s="372">
        <f t="shared" si="13"/>
        <v>90.931660736400005</v>
      </c>
      <c r="O18" s="373">
        <f t="shared" si="14"/>
        <v>13418.524354000001</v>
      </c>
      <c r="P18" s="374">
        <f t="shared" si="33"/>
        <v>2183.7048708000002</v>
      </c>
      <c r="Q18" s="373">
        <f>$H$18-$N$18-P18</f>
        <v>11143.887822463601</v>
      </c>
      <c r="R18" s="373">
        <f t="shared" si="15"/>
        <v>26837.048708000002</v>
      </c>
      <c r="S18" s="376">
        <f>(R18-25000)*0.27+(25000-O18)*0.2</f>
        <v>2812.2982803600003</v>
      </c>
      <c r="T18" s="373">
        <f>$H$18-$N$18-S18</f>
        <v>10515.2944129036</v>
      </c>
      <c r="U18" s="373">
        <f t="shared" si="1"/>
        <v>40255.573062000003</v>
      </c>
      <c r="V18" s="376">
        <f>H18*0.27</f>
        <v>3623.0015755800005</v>
      </c>
      <c r="W18" s="373">
        <f t="shared" si="16"/>
        <v>9704.5911176836016</v>
      </c>
      <c r="X18" s="373">
        <f t="shared" si="2"/>
        <v>53674.097416000004</v>
      </c>
      <c r="Y18" s="376">
        <f t="shared" si="3"/>
        <v>3623.0015755800005</v>
      </c>
      <c r="Z18" s="373">
        <f>$H$18-$N$18-Y18</f>
        <v>9704.5911176836016</v>
      </c>
      <c r="AA18" s="373">
        <f t="shared" si="4"/>
        <v>67092.621769999998</v>
      </c>
      <c r="AB18" s="376">
        <f t="shared" si="17"/>
        <v>3623.0015755800005</v>
      </c>
      <c r="AC18" s="373">
        <f t="shared" si="18"/>
        <v>9704.5911176836016</v>
      </c>
      <c r="AD18" s="373">
        <f t="shared" si="5"/>
        <v>80511.146124000006</v>
      </c>
      <c r="AE18" s="376">
        <f t="shared" si="35"/>
        <v>3623.0015755800005</v>
      </c>
      <c r="AF18" s="373">
        <f t="shared" si="20"/>
        <v>9704.5911176836016</v>
      </c>
      <c r="AG18" s="373">
        <f t="shared" si="6"/>
        <v>93929.670478000015</v>
      </c>
      <c r="AH18" s="377">
        <f>(AG18-88000)*0.35+(88000-AD18)*0.27</f>
        <v>4097.3752138200034</v>
      </c>
      <c r="AI18" s="373">
        <f t="shared" si="21"/>
        <v>9230.2174794435978</v>
      </c>
      <c r="AJ18" s="373">
        <f t="shared" si="7"/>
        <v>107348.19483200001</v>
      </c>
      <c r="AK18" s="377">
        <f>H18*0.35</f>
        <v>4696.4835239000004</v>
      </c>
      <c r="AL18" s="373">
        <f t="shared" si="22"/>
        <v>8631.1091693636008</v>
      </c>
      <c r="AM18" s="373">
        <f t="shared" si="8"/>
        <v>120766.719186</v>
      </c>
      <c r="AN18" s="377">
        <f>H18*0.35</f>
        <v>4696.4835239000004</v>
      </c>
      <c r="AO18" s="373">
        <f t="shared" si="23"/>
        <v>8631.1091693636008</v>
      </c>
      <c r="AP18" s="373">
        <f t="shared" si="9"/>
        <v>134185.24354</v>
      </c>
      <c r="AQ18" s="377">
        <f>H18*0.35</f>
        <v>4696.4835239000004</v>
      </c>
      <c r="AR18" s="373">
        <f t="shared" si="25"/>
        <v>8631.1091693636008</v>
      </c>
      <c r="AS18" s="373">
        <f t="shared" si="10"/>
        <v>147603.76789400002</v>
      </c>
      <c r="AT18" s="377">
        <f t="shared" si="26"/>
        <v>4696.4835239000004</v>
      </c>
      <c r="AU18" s="373">
        <f>$H$18-$N$18-AT18</f>
        <v>8631.1091693636008</v>
      </c>
      <c r="AV18" s="373">
        <f t="shared" si="11"/>
        <v>161022.29224800001</v>
      </c>
      <c r="AW18" s="377">
        <f t="shared" si="31"/>
        <v>4696.4835239000004</v>
      </c>
      <c r="AX18" s="373">
        <f t="shared" si="28"/>
        <v>8631.1091693636008</v>
      </c>
      <c r="AY18" s="371"/>
      <c r="BA18" s="358"/>
    </row>
    <row r="19" spans="1:53" s="233" customFormat="1" ht="30" hidden="1" customHeight="1" x14ac:dyDescent="0.45">
      <c r="A19" s="730"/>
      <c r="B19" s="461" t="s">
        <v>237</v>
      </c>
      <c r="C19" s="231">
        <v>450</v>
      </c>
      <c r="D19" s="234">
        <v>4996.0199999999995</v>
      </c>
      <c r="E19" s="234">
        <v>14988.06</v>
      </c>
      <c r="F19" s="234">
        <f t="shared" si="32"/>
        <v>19984.079999999998</v>
      </c>
      <c r="G19" s="233">
        <v>359</v>
      </c>
      <c r="H19" s="353">
        <f t="shared" si="29"/>
        <v>11606.4679</v>
      </c>
      <c r="I19" s="463">
        <v>0.5</v>
      </c>
      <c r="J19" s="362">
        <v>8300</v>
      </c>
      <c r="K19" s="361">
        <f t="shared" si="12"/>
        <v>8299.3987135266634</v>
      </c>
      <c r="L19" s="390"/>
      <c r="M19" s="390">
        <f t="shared" si="0"/>
        <v>8924.084638200713</v>
      </c>
      <c r="N19" s="372">
        <f t="shared" si="13"/>
        <v>78.972088139999997</v>
      </c>
      <c r="O19" s="373">
        <f t="shared" si="14"/>
        <v>11606.4679</v>
      </c>
      <c r="P19" s="374">
        <f t="shared" si="33"/>
        <v>1821.29358</v>
      </c>
      <c r="Q19" s="373">
        <f>$H$19-$N$19-P19</f>
        <v>9706.2022318599993</v>
      </c>
      <c r="R19" s="373">
        <f t="shared" si="15"/>
        <v>23212.935799999999</v>
      </c>
      <c r="S19" s="374">
        <f>H19*0.2</f>
        <v>2321.29358</v>
      </c>
      <c r="T19" s="373">
        <f>$H$19-$N$19-S19</f>
        <v>9206.2022318599993</v>
      </c>
      <c r="U19" s="373">
        <f t="shared" si="1"/>
        <v>34819.403699999995</v>
      </c>
      <c r="V19" s="376">
        <f>(U19-25000)*0.27+(25000-R19)*0.2</f>
        <v>3008.6518389999992</v>
      </c>
      <c r="W19" s="373">
        <f t="shared" si="16"/>
        <v>8518.8439728599988</v>
      </c>
      <c r="X19" s="373">
        <f t="shared" si="2"/>
        <v>46425.871599999999</v>
      </c>
      <c r="Y19" s="376">
        <f t="shared" si="3"/>
        <v>3133.746333</v>
      </c>
      <c r="Z19" s="373">
        <f>$H$19-$N$19-Y19</f>
        <v>8393.7494788599979</v>
      </c>
      <c r="AA19" s="373">
        <f t="shared" si="4"/>
        <v>58032.339500000002</v>
      </c>
      <c r="AB19" s="376">
        <f t="shared" si="17"/>
        <v>3133.746333</v>
      </c>
      <c r="AC19" s="373">
        <f t="shared" si="18"/>
        <v>8393.7494788599979</v>
      </c>
      <c r="AD19" s="373">
        <f t="shared" si="5"/>
        <v>69638.807399999991</v>
      </c>
      <c r="AE19" s="376">
        <f t="shared" si="35"/>
        <v>3133.746333</v>
      </c>
      <c r="AF19" s="373">
        <f t="shared" si="20"/>
        <v>8393.7494788599979</v>
      </c>
      <c r="AG19" s="373">
        <f t="shared" si="6"/>
        <v>81245.275299999994</v>
      </c>
      <c r="AH19" s="376">
        <f t="shared" ref="AH19:AH26" si="36">H19*0.27</f>
        <v>3133.746333</v>
      </c>
      <c r="AI19" s="373">
        <f t="shared" si="21"/>
        <v>8393.7494788599979</v>
      </c>
      <c r="AJ19" s="373">
        <f t="shared" si="7"/>
        <v>92851.743199999997</v>
      </c>
      <c r="AK19" s="377">
        <f>(AJ19-88000)*0.35+(88000-AG19)*0.27</f>
        <v>3521.8857890000008</v>
      </c>
      <c r="AL19" s="373">
        <f t="shared" si="22"/>
        <v>8005.610022859998</v>
      </c>
      <c r="AM19" s="373">
        <f t="shared" si="8"/>
        <v>104458.2111</v>
      </c>
      <c r="AN19" s="377">
        <f>H19*0.35</f>
        <v>4062.2637649999997</v>
      </c>
      <c r="AO19" s="373">
        <f t="shared" si="23"/>
        <v>7465.2320468599992</v>
      </c>
      <c r="AP19" s="373">
        <f t="shared" si="9"/>
        <v>116064.679</v>
      </c>
      <c r="AQ19" s="377">
        <f>H19*0.35</f>
        <v>4062.2637649999997</v>
      </c>
      <c r="AR19" s="373">
        <f t="shared" si="25"/>
        <v>7465.2320468599992</v>
      </c>
      <c r="AS19" s="373">
        <f t="shared" si="10"/>
        <v>127671.14689999999</v>
      </c>
      <c r="AT19" s="377">
        <f t="shared" si="26"/>
        <v>4062.2637649999997</v>
      </c>
      <c r="AU19" s="373">
        <f>$H$19-$N$19-AT19</f>
        <v>7465.2320468599992</v>
      </c>
      <c r="AV19" s="373">
        <f t="shared" si="11"/>
        <v>139277.61479999998</v>
      </c>
      <c r="AW19" s="377">
        <f t="shared" si="31"/>
        <v>4062.2637649999997</v>
      </c>
      <c r="AX19" s="373">
        <f t="shared" si="28"/>
        <v>7465.2320468599992</v>
      </c>
      <c r="AY19" s="371"/>
      <c r="BA19" s="358"/>
    </row>
    <row r="20" spans="1:53" s="233" customFormat="1" ht="30" hidden="1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29"/>
        <v>10026.726375999999</v>
      </c>
      <c r="I20" s="463">
        <v>0.57999999999999996</v>
      </c>
      <c r="J20" s="362">
        <v>7300</v>
      </c>
      <c r="K20" s="361">
        <f t="shared" si="12"/>
        <v>7282.9930169850659</v>
      </c>
      <c r="L20" s="390"/>
      <c r="M20" s="390">
        <f t="shared" si="0"/>
        <v>7831.1752870807159</v>
      </c>
      <c r="N20" s="372">
        <f t="shared" si="13"/>
        <v>68.545794081599993</v>
      </c>
      <c r="O20" s="373">
        <f t="shared" si="14"/>
        <v>10026.726375999999</v>
      </c>
      <c r="P20" s="374">
        <f t="shared" si="33"/>
        <v>1505.3452751999998</v>
      </c>
      <c r="Q20" s="373">
        <f>$H$20-$N$20-P20</f>
        <v>8452.8353067183998</v>
      </c>
      <c r="R20" s="373">
        <f t="shared" si="15"/>
        <v>20053.452751999997</v>
      </c>
      <c r="S20" s="374">
        <f>H20*0.2</f>
        <v>2005.3452751999998</v>
      </c>
      <c r="T20" s="373">
        <f>$H$20-$N$20-S20</f>
        <v>7952.8353067183998</v>
      </c>
      <c r="U20" s="373">
        <f t="shared" si="1"/>
        <v>30080.179127999996</v>
      </c>
      <c r="V20" s="376">
        <f>(U20-25000)*0.27+(25000-R20)*0.2</f>
        <v>2360.9578141599995</v>
      </c>
      <c r="W20" s="373">
        <f t="shared" si="16"/>
        <v>7597.2227677583996</v>
      </c>
      <c r="X20" s="373">
        <f t="shared" si="2"/>
        <v>40106.905503999995</v>
      </c>
      <c r="Y20" s="376">
        <f t="shared" si="3"/>
        <v>2707.2161215199999</v>
      </c>
      <c r="Z20" s="373">
        <f>$H$20-$N$20-Y20</f>
        <v>7250.9644603983998</v>
      </c>
      <c r="AA20" s="373">
        <f t="shared" si="4"/>
        <v>50133.631879999994</v>
      </c>
      <c r="AB20" s="376">
        <f t="shared" si="17"/>
        <v>2707.2161215199999</v>
      </c>
      <c r="AC20" s="373">
        <f t="shared" si="18"/>
        <v>7250.9644603983998</v>
      </c>
      <c r="AD20" s="373">
        <f t="shared" si="5"/>
        <v>60160.358255999992</v>
      </c>
      <c r="AE20" s="376">
        <f t="shared" si="35"/>
        <v>2707.2161215199999</v>
      </c>
      <c r="AF20" s="373">
        <f t="shared" si="20"/>
        <v>7250.9644603983998</v>
      </c>
      <c r="AG20" s="373">
        <f t="shared" si="6"/>
        <v>70187.084631999984</v>
      </c>
      <c r="AH20" s="376">
        <f t="shared" si="36"/>
        <v>2707.2161215199999</v>
      </c>
      <c r="AI20" s="373">
        <f t="shared" si="21"/>
        <v>7250.9644603983998</v>
      </c>
      <c r="AJ20" s="373">
        <f t="shared" si="7"/>
        <v>80213.81100799999</v>
      </c>
      <c r="AK20" s="376">
        <f t="shared" ref="AK20:AK27" si="37">H20*0.27</f>
        <v>2707.2161215199999</v>
      </c>
      <c r="AL20" s="373">
        <f t="shared" si="22"/>
        <v>7250.9644603983998</v>
      </c>
      <c r="AM20" s="373">
        <f t="shared" si="8"/>
        <v>90240.537383999996</v>
      </c>
      <c r="AN20" s="377">
        <f>(AM20-88000)*0.35+(88000-AJ20)*0.27</f>
        <v>2886.4591122400011</v>
      </c>
      <c r="AO20" s="373">
        <f t="shared" si="23"/>
        <v>7071.7214696783976</v>
      </c>
      <c r="AP20" s="373">
        <f t="shared" si="9"/>
        <v>100267.26375999999</v>
      </c>
      <c r="AQ20" s="377">
        <f>H20*0.35</f>
        <v>3509.3542315999994</v>
      </c>
      <c r="AR20" s="373">
        <f t="shared" si="25"/>
        <v>6448.8263503183998</v>
      </c>
      <c r="AS20" s="373">
        <f t="shared" si="10"/>
        <v>110293.99013599998</v>
      </c>
      <c r="AT20" s="377">
        <f t="shared" si="26"/>
        <v>3509.3542315999994</v>
      </c>
      <c r="AU20" s="373">
        <f>$H$20-$N$20-AT20</f>
        <v>6448.8263503183998</v>
      </c>
      <c r="AV20" s="373">
        <f t="shared" si="11"/>
        <v>120320.71651199998</v>
      </c>
      <c r="AW20" s="377">
        <f t="shared" si="31"/>
        <v>3509.3542315999994</v>
      </c>
      <c r="AX20" s="373">
        <f t="shared" si="28"/>
        <v>6448.8263503183998</v>
      </c>
      <c r="AY20" s="371"/>
      <c r="BA20" s="358"/>
    </row>
    <row r="21" spans="1:53" s="233" customFormat="1" ht="30" hidden="1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29"/>
        <v>9747.9484599999996</v>
      </c>
      <c r="I21" s="363">
        <v>0.55000000000000004</v>
      </c>
      <c r="J21" s="362">
        <v>7100</v>
      </c>
      <c r="K21" s="361">
        <f t="shared" si="12"/>
        <v>7103.627305830666</v>
      </c>
      <c r="L21" s="390"/>
      <c r="M21" s="390">
        <f t="shared" si="0"/>
        <v>7638.3089310007153</v>
      </c>
      <c r="N21" s="372">
        <f t="shared" si="13"/>
        <v>66.705859836000002</v>
      </c>
      <c r="O21" s="373">
        <f t="shared" si="14"/>
        <v>9747.9484599999996</v>
      </c>
      <c r="P21" s="378">
        <f>O21*0.15</f>
        <v>1462.1922689999999</v>
      </c>
      <c r="Q21" s="373">
        <f>$H$21-$N$21-P21</f>
        <v>8219.0503311640005</v>
      </c>
      <c r="R21" s="373">
        <f t="shared" si="15"/>
        <v>19495.896919999999</v>
      </c>
      <c r="S21" s="374">
        <f>(R21-10000)*0.2+(10000-O21)*0.15</f>
        <v>1936.9871150000001</v>
      </c>
      <c r="T21" s="373">
        <f>$H$21-$N$21-S21</f>
        <v>7744.2554851639998</v>
      </c>
      <c r="U21" s="373">
        <f t="shared" si="1"/>
        <v>29243.845379999999</v>
      </c>
      <c r="V21" s="376">
        <f>(U21-25000)*0.27+(25000-R21)*0.2</f>
        <v>2246.6588686</v>
      </c>
      <c r="W21" s="373">
        <f t="shared" si="16"/>
        <v>7434.5837315640001</v>
      </c>
      <c r="X21" s="373">
        <f t="shared" si="2"/>
        <v>38991.793839999998</v>
      </c>
      <c r="Y21" s="376">
        <f t="shared" si="3"/>
        <v>2631.9460841999999</v>
      </c>
      <c r="Z21" s="373">
        <f>$H$21-$N$21-Y21</f>
        <v>7049.2965159639998</v>
      </c>
      <c r="AA21" s="373">
        <f t="shared" si="4"/>
        <v>48739.742299999998</v>
      </c>
      <c r="AB21" s="376">
        <f t="shared" si="17"/>
        <v>2631.9460841999999</v>
      </c>
      <c r="AC21" s="373">
        <f t="shared" si="18"/>
        <v>7049.2965159639998</v>
      </c>
      <c r="AD21" s="373">
        <f t="shared" si="5"/>
        <v>58487.690759999998</v>
      </c>
      <c r="AE21" s="376">
        <f t="shared" si="35"/>
        <v>2631.9460841999999</v>
      </c>
      <c r="AF21" s="373">
        <f t="shared" si="20"/>
        <v>7049.2965159639998</v>
      </c>
      <c r="AG21" s="373">
        <f t="shared" si="6"/>
        <v>68235.639219999997</v>
      </c>
      <c r="AH21" s="376">
        <f t="shared" si="36"/>
        <v>2631.9460841999999</v>
      </c>
      <c r="AI21" s="373">
        <f t="shared" si="21"/>
        <v>7049.2965159639998</v>
      </c>
      <c r="AJ21" s="373">
        <f t="shared" si="7"/>
        <v>77983.587679999997</v>
      </c>
      <c r="AK21" s="376">
        <f t="shared" si="37"/>
        <v>2631.9460841999999</v>
      </c>
      <c r="AL21" s="373">
        <f t="shared" si="22"/>
        <v>7049.2965159639998</v>
      </c>
      <c r="AM21" s="373">
        <f t="shared" si="8"/>
        <v>87731.536139999997</v>
      </c>
      <c r="AN21" s="376">
        <f t="shared" ref="AN21:AN27" si="38">H21*0.27</f>
        <v>2631.9460841999999</v>
      </c>
      <c r="AO21" s="373">
        <f t="shared" si="23"/>
        <v>7049.2965159639998</v>
      </c>
      <c r="AP21" s="373">
        <f t="shared" si="9"/>
        <v>97479.484599999996</v>
      </c>
      <c r="AQ21" s="377">
        <f>(AP21-88000)*0.35+(88000-AM21)*0.27</f>
        <v>3390.3048521999995</v>
      </c>
      <c r="AR21" s="373">
        <f t="shared" si="25"/>
        <v>6290.9377479640007</v>
      </c>
      <c r="AS21" s="373">
        <f t="shared" si="10"/>
        <v>107227.43306</v>
      </c>
      <c r="AT21" s="377">
        <f t="shared" si="26"/>
        <v>3411.7819609999997</v>
      </c>
      <c r="AU21" s="373">
        <f>$H$21-$N$21-AT21</f>
        <v>6269.460639164</v>
      </c>
      <c r="AV21" s="373">
        <f t="shared" si="11"/>
        <v>116975.38152</v>
      </c>
      <c r="AW21" s="377">
        <f t="shared" si="31"/>
        <v>3411.7819609999997</v>
      </c>
      <c r="AX21" s="373">
        <f t="shared" si="28"/>
        <v>6269.460639164</v>
      </c>
      <c r="AY21" s="371"/>
      <c r="BA21" s="358"/>
    </row>
    <row r="22" spans="1:53" s="233" customFormat="1" ht="30" hidden="1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29"/>
        <v>9376.2445719999996</v>
      </c>
      <c r="I22" s="463">
        <v>0.51</v>
      </c>
      <c r="J22" s="362">
        <v>6900</v>
      </c>
      <c r="K22" s="361">
        <f t="shared" si="12"/>
        <v>6864.4730242914638</v>
      </c>
      <c r="L22" s="390"/>
      <c r="M22" s="390">
        <f t="shared" si="0"/>
        <v>7381.1537895607134</v>
      </c>
      <c r="N22" s="372">
        <f t="shared" si="13"/>
        <v>64.252614175199994</v>
      </c>
      <c r="O22" s="373">
        <f t="shared" si="14"/>
        <v>9376.2445719999996</v>
      </c>
      <c r="P22" s="378">
        <f>O22*0.15</f>
        <v>1406.4366857999999</v>
      </c>
      <c r="Q22" s="373">
        <f>$H$22-$N$22-P22</f>
        <v>7905.5552720247997</v>
      </c>
      <c r="R22" s="373">
        <f t="shared" si="15"/>
        <v>18752.489143999999</v>
      </c>
      <c r="S22" s="374">
        <f>(R22-10000)*0.2+(10000-O22)*0.15</f>
        <v>1844.0611430000001</v>
      </c>
      <c r="T22" s="373">
        <f>$H$22-$N$22-S22</f>
        <v>7467.9308148247992</v>
      </c>
      <c r="U22" s="373">
        <f t="shared" si="1"/>
        <v>28128.733715999999</v>
      </c>
      <c r="V22" s="376">
        <f>(U22-25000)*0.27+(25000-R22)*0.2</f>
        <v>2094.2602745200002</v>
      </c>
      <c r="W22" s="373">
        <f t="shared" si="16"/>
        <v>7217.7316833047989</v>
      </c>
      <c r="X22" s="373">
        <f t="shared" si="2"/>
        <v>37504.978287999998</v>
      </c>
      <c r="Y22" s="376">
        <f t="shared" si="3"/>
        <v>2531.5860344400003</v>
      </c>
      <c r="Z22" s="373">
        <f>$H$22-$N$22-Y22</f>
        <v>6780.4059233847984</v>
      </c>
      <c r="AA22" s="373">
        <f t="shared" si="4"/>
        <v>46881.222859999994</v>
      </c>
      <c r="AB22" s="376">
        <f t="shared" si="17"/>
        <v>2531.5860344400003</v>
      </c>
      <c r="AC22" s="373">
        <f t="shared" si="18"/>
        <v>6780.4059233847984</v>
      </c>
      <c r="AD22" s="373">
        <f t="shared" si="5"/>
        <v>56257.467431999998</v>
      </c>
      <c r="AE22" s="376">
        <f t="shared" si="35"/>
        <v>2531.5860344400003</v>
      </c>
      <c r="AF22" s="373">
        <f t="shared" si="20"/>
        <v>6780.4059233847984</v>
      </c>
      <c r="AG22" s="373">
        <f t="shared" si="6"/>
        <v>65633.712004000001</v>
      </c>
      <c r="AH22" s="376">
        <f t="shared" si="36"/>
        <v>2531.5860344400003</v>
      </c>
      <c r="AI22" s="373">
        <f t="shared" si="21"/>
        <v>6780.4059233847984</v>
      </c>
      <c r="AJ22" s="373">
        <f t="shared" si="7"/>
        <v>75009.956575999997</v>
      </c>
      <c r="AK22" s="376">
        <f t="shared" si="37"/>
        <v>2531.5860344400003</v>
      </c>
      <c r="AL22" s="373">
        <f t="shared" si="22"/>
        <v>6780.4059233847984</v>
      </c>
      <c r="AM22" s="373">
        <f t="shared" si="8"/>
        <v>84386.201147999993</v>
      </c>
      <c r="AN22" s="376">
        <f t="shared" si="38"/>
        <v>2531.5860344400003</v>
      </c>
      <c r="AO22" s="373">
        <f t="shared" si="23"/>
        <v>6780.4059233847984</v>
      </c>
      <c r="AP22" s="373">
        <f t="shared" si="9"/>
        <v>93762.445719999989</v>
      </c>
      <c r="AQ22" s="377">
        <f>(AP22-88000)*0.35+(88000-AM22)*0.27</f>
        <v>2992.581692039998</v>
      </c>
      <c r="AR22" s="373">
        <f t="shared" si="25"/>
        <v>6319.4102657848016</v>
      </c>
      <c r="AS22" s="373">
        <f t="shared" si="10"/>
        <v>103138.690292</v>
      </c>
      <c r="AT22" s="377">
        <f t="shared" si="26"/>
        <v>3281.6856001999995</v>
      </c>
      <c r="AU22" s="373">
        <f>$H$22-$N$22-AT22</f>
        <v>6030.3063576247996</v>
      </c>
      <c r="AV22" s="373">
        <f t="shared" si="11"/>
        <v>112514.934864</v>
      </c>
      <c r="AW22" s="377">
        <f t="shared" si="31"/>
        <v>3281.6856001999995</v>
      </c>
      <c r="AX22" s="373">
        <f t="shared" si="28"/>
        <v>6030.3063576247996</v>
      </c>
      <c r="AY22" s="371"/>
      <c r="BA22" s="358"/>
    </row>
    <row r="23" spans="1:53" s="233" customFormat="1" ht="30" hidden="1" customHeight="1" x14ac:dyDescent="0.45">
      <c r="A23" s="730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29"/>
        <v>6309.6874959999996</v>
      </c>
      <c r="I23" s="464">
        <v>0.18</v>
      </c>
      <c r="J23" s="362">
        <v>4900</v>
      </c>
      <c r="K23" s="361">
        <f t="shared" si="12"/>
        <v>4809.5585346064008</v>
      </c>
      <c r="L23" s="390"/>
      <c r="M23" s="390">
        <f t="shared" si="0"/>
        <v>5171.5683167810757</v>
      </c>
      <c r="N23" s="372">
        <f t="shared" si="13"/>
        <v>44.013337473599996</v>
      </c>
      <c r="O23" s="373">
        <f t="shared" si="14"/>
        <v>6309.6874959999996</v>
      </c>
      <c r="P23" s="378">
        <f>O23*0.15</f>
        <v>946.45312439999987</v>
      </c>
      <c r="Q23" s="373">
        <f>$H$23-$N$23-P23</f>
        <v>5319.2210341263999</v>
      </c>
      <c r="R23" s="373">
        <f t="shared" si="15"/>
        <v>12619.374991999999</v>
      </c>
      <c r="S23" s="374">
        <f>(R23-10000)*0.2+(10000-O23)*0.15</f>
        <v>1077.4218739999999</v>
      </c>
      <c r="T23" s="373">
        <f>$H$23-$N$23-S23</f>
        <v>5188.2522845264002</v>
      </c>
      <c r="U23" s="373">
        <f t="shared" si="1"/>
        <v>18929.062488</v>
      </c>
      <c r="V23" s="374">
        <f>H23*0.2</f>
        <v>1261.9374992</v>
      </c>
      <c r="W23" s="373">
        <f t="shared" si="16"/>
        <v>5003.7366593263996</v>
      </c>
      <c r="X23" s="373">
        <f t="shared" si="2"/>
        <v>25238.749983999998</v>
      </c>
      <c r="Y23" s="376">
        <f>(X23-25000)*0.27+(25000-U23)*0.2</f>
        <v>1278.6499980799997</v>
      </c>
      <c r="Z23" s="373">
        <f>$H$23-$N$23-Y23</f>
        <v>4987.0241604463999</v>
      </c>
      <c r="AA23" s="373">
        <f t="shared" si="4"/>
        <v>31548.437479999997</v>
      </c>
      <c r="AB23" s="376">
        <f t="shared" si="17"/>
        <v>1703.61562392</v>
      </c>
      <c r="AC23" s="373">
        <f t="shared" si="18"/>
        <v>4562.0585346063999</v>
      </c>
      <c r="AD23" s="373">
        <f t="shared" si="5"/>
        <v>37858.124975999999</v>
      </c>
      <c r="AE23" s="376">
        <f t="shared" si="35"/>
        <v>1703.61562392</v>
      </c>
      <c r="AF23" s="373">
        <f t="shared" si="20"/>
        <v>4562.0585346063999</v>
      </c>
      <c r="AG23" s="373">
        <f t="shared" si="6"/>
        <v>44167.812471999998</v>
      </c>
      <c r="AH23" s="376">
        <f t="shared" si="36"/>
        <v>1703.61562392</v>
      </c>
      <c r="AI23" s="373">
        <f t="shared" si="21"/>
        <v>4562.0585346063999</v>
      </c>
      <c r="AJ23" s="373">
        <f t="shared" si="7"/>
        <v>50477.499967999996</v>
      </c>
      <c r="AK23" s="376">
        <f t="shared" si="37"/>
        <v>1703.61562392</v>
      </c>
      <c r="AL23" s="373">
        <f t="shared" si="22"/>
        <v>4562.0585346063999</v>
      </c>
      <c r="AM23" s="373">
        <f t="shared" si="8"/>
        <v>56787.187463999995</v>
      </c>
      <c r="AN23" s="376">
        <f t="shared" si="38"/>
        <v>1703.61562392</v>
      </c>
      <c r="AO23" s="373">
        <f t="shared" si="23"/>
        <v>4562.0585346063999</v>
      </c>
      <c r="AP23" s="373">
        <f t="shared" si="9"/>
        <v>63096.874959999994</v>
      </c>
      <c r="AQ23" s="376">
        <f>H23*0.27</f>
        <v>1703.61562392</v>
      </c>
      <c r="AR23" s="373">
        <f t="shared" si="25"/>
        <v>4562.0585346063999</v>
      </c>
      <c r="AS23" s="373">
        <f t="shared" si="10"/>
        <v>69406.562456</v>
      </c>
      <c r="AT23" s="376">
        <f>H23*0.27</f>
        <v>1703.61562392</v>
      </c>
      <c r="AU23" s="373">
        <f>$H$23-$N$23-AT23</f>
        <v>4562.0585346063999</v>
      </c>
      <c r="AV23" s="373">
        <f t="shared" si="11"/>
        <v>75716.249951999998</v>
      </c>
      <c r="AW23" s="376">
        <f t="shared" ref="AW23:AW27" si="39">H23*0.27</f>
        <v>1703.61562392</v>
      </c>
      <c r="AX23" s="373">
        <f t="shared" si="28"/>
        <v>4562.0585346063999</v>
      </c>
      <c r="AY23" s="371"/>
      <c r="BA23" s="358"/>
    </row>
    <row r="24" spans="1:53" s="233" customFormat="1" ht="30" hidden="1" customHeight="1" x14ac:dyDescent="0.45">
      <c r="A24" s="731" t="s">
        <v>172</v>
      </c>
      <c r="B24" s="348" t="s">
        <v>282</v>
      </c>
      <c r="C24" s="317">
        <v>125</v>
      </c>
      <c r="D24" s="238">
        <v>3330.68</v>
      </c>
      <c r="E24" s="238">
        <v>4163.3499999999995</v>
      </c>
      <c r="F24" s="238">
        <f t="shared" ref="F24:F27" si="40">D24+E24</f>
        <v>7494.0299999999988</v>
      </c>
      <c r="G24" s="233">
        <v>359</v>
      </c>
      <c r="H24" s="353">
        <f t="shared" si="29"/>
        <v>6495.1231049999997</v>
      </c>
      <c r="I24" s="463">
        <v>0.91</v>
      </c>
      <c r="J24" s="362">
        <v>5000</v>
      </c>
      <c r="K24" s="361">
        <f t="shared" si="12"/>
        <v>4943.7026541570003</v>
      </c>
      <c r="L24" s="390"/>
      <c r="M24" s="390">
        <f t="shared" si="0"/>
        <v>5315.8093055451618</v>
      </c>
      <c r="N24" s="372">
        <f t="shared" si="13"/>
        <v>45.237212492999994</v>
      </c>
      <c r="O24" s="373">
        <f t="shared" si="14"/>
        <v>6495.1231049999997</v>
      </c>
      <c r="P24" s="378">
        <f t="shared" ref="P24:P28" si="41">O24*0.15</f>
        <v>974.2684657499999</v>
      </c>
      <c r="Q24" s="373">
        <f>$H$24-$N$24-P24</f>
        <v>5475.6174267570004</v>
      </c>
      <c r="R24" s="373">
        <f t="shared" si="15"/>
        <v>12990.246209999999</v>
      </c>
      <c r="S24" s="374">
        <f>(R24-10000)*0.2+(10000-O24)*0.15</f>
        <v>1123.7807762499999</v>
      </c>
      <c r="T24" s="373">
        <f>$H$24-$N$24-S24</f>
        <v>5326.1051162570002</v>
      </c>
      <c r="U24" s="373">
        <f t="shared" si="1"/>
        <v>19485.369315</v>
      </c>
      <c r="V24" s="374">
        <f>H24*0.2</f>
        <v>1299.024621</v>
      </c>
      <c r="W24" s="373">
        <f t="shared" si="16"/>
        <v>5150.8612715069994</v>
      </c>
      <c r="X24" s="373">
        <f t="shared" si="2"/>
        <v>25980.492419999999</v>
      </c>
      <c r="Y24" s="376">
        <f>(X24-25000)*0.27+(25000-U24)*0.2</f>
        <v>1367.6590903999997</v>
      </c>
      <c r="Z24" s="373">
        <f>$H$24-$N$24-Y24</f>
        <v>5082.2268021070004</v>
      </c>
      <c r="AA24" s="373">
        <f t="shared" si="4"/>
        <v>32475.615524999997</v>
      </c>
      <c r="AB24" s="376">
        <f t="shared" si="17"/>
        <v>1753.68323835</v>
      </c>
      <c r="AC24" s="373">
        <f t="shared" si="18"/>
        <v>4696.2026541569994</v>
      </c>
      <c r="AD24" s="373">
        <f t="shared" si="5"/>
        <v>38970.73863</v>
      </c>
      <c r="AE24" s="376">
        <f t="shared" si="35"/>
        <v>1753.68323835</v>
      </c>
      <c r="AF24" s="373">
        <f t="shared" si="20"/>
        <v>4696.2026541569994</v>
      </c>
      <c r="AG24" s="373">
        <f t="shared" si="6"/>
        <v>45465.861734999999</v>
      </c>
      <c r="AH24" s="376">
        <f t="shared" si="36"/>
        <v>1753.68323835</v>
      </c>
      <c r="AI24" s="373">
        <f t="shared" si="21"/>
        <v>4696.2026541569994</v>
      </c>
      <c r="AJ24" s="373">
        <f t="shared" si="7"/>
        <v>51960.984839999997</v>
      </c>
      <c r="AK24" s="376">
        <f t="shared" si="37"/>
        <v>1753.68323835</v>
      </c>
      <c r="AL24" s="373">
        <f t="shared" si="22"/>
        <v>4696.2026541569994</v>
      </c>
      <c r="AM24" s="373">
        <f t="shared" si="8"/>
        <v>58456.107944999996</v>
      </c>
      <c r="AN24" s="376">
        <f t="shared" si="38"/>
        <v>1753.68323835</v>
      </c>
      <c r="AO24" s="373">
        <f t="shared" si="23"/>
        <v>4696.2026541569994</v>
      </c>
      <c r="AP24" s="373">
        <f t="shared" si="9"/>
        <v>64951.231049999995</v>
      </c>
      <c r="AQ24" s="376">
        <f>H24*0.27</f>
        <v>1753.68323835</v>
      </c>
      <c r="AR24" s="373">
        <f t="shared" si="25"/>
        <v>4696.2026541569994</v>
      </c>
      <c r="AS24" s="373">
        <f t="shared" si="10"/>
        <v>71446.354154999994</v>
      </c>
      <c r="AT24" s="376">
        <f>H24*0.27</f>
        <v>1753.68323835</v>
      </c>
      <c r="AU24" s="373">
        <f>$H$24-$N$24-AT24</f>
        <v>4696.2026541569994</v>
      </c>
      <c r="AV24" s="373">
        <f t="shared" si="11"/>
        <v>77941.47726</v>
      </c>
      <c r="AW24" s="376">
        <f t="shared" si="39"/>
        <v>1753.68323835</v>
      </c>
      <c r="AX24" s="373">
        <f t="shared" si="28"/>
        <v>4696.2026541569994</v>
      </c>
      <c r="AY24" s="371"/>
      <c r="BA24" s="358"/>
    </row>
    <row r="25" spans="1:53" s="233" customFormat="1" ht="30" hidden="1" customHeight="1" x14ac:dyDescent="0.45">
      <c r="A25" s="732"/>
      <c r="B25" s="348" t="s">
        <v>281</v>
      </c>
      <c r="C25" s="317">
        <v>125</v>
      </c>
      <c r="D25" s="238">
        <v>3330.68</v>
      </c>
      <c r="E25" s="238">
        <v>4163.3499999999995</v>
      </c>
      <c r="F25" s="238">
        <f t="shared" si="40"/>
        <v>7494.0299999999988</v>
      </c>
      <c r="G25" s="233">
        <v>359</v>
      </c>
      <c r="H25" s="353">
        <f t="shared" si="29"/>
        <v>5798.1783149999992</v>
      </c>
      <c r="I25" s="363">
        <v>0.73</v>
      </c>
      <c r="J25" s="362">
        <v>4500</v>
      </c>
      <c r="K25" s="361">
        <f>((Q25+T25+W25+Z25+AC25+AF25+AI25+AL25+AO25+AR25+AU25+AX25)/12)+60</f>
        <v>4497.2282059364989</v>
      </c>
      <c r="L25" s="390"/>
      <c r="M25" s="390">
        <f t="shared" si="0"/>
        <v>4835.72925369516</v>
      </c>
      <c r="N25" s="372">
        <f t="shared" si="13"/>
        <v>40.637376878999994</v>
      </c>
      <c r="O25" s="373">
        <f t="shared" si="14"/>
        <v>5798.1783149999992</v>
      </c>
      <c r="P25" s="378">
        <f t="shared" si="41"/>
        <v>869.7267472499999</v>
      </c>
      <c r="Q25" s="373">
        <f>$H$24-$N$24-P25</f>
        <v>5580.1591452570001</v>
      </c>
      <c r="R25" s="373">
        <f t="shared" si="15"/>
        <v>11596.356629999998</v>
      </c>
      <c r="S25" s="374">
        <f>(R25-10000)*0.2+(10000-O25)*0.15</f>
        <v>949.5445787499998</v>
      </c>
      <c r="T25" s="373">
        <f>H25-N25-S25</f>
        <v>4807.9963593709999</v>
      </c>
      <c r="U25" s="373">
        <f t="shared" si="1"/>
        <v>17394.534944999999</v>
      </c>
      <c r="V25" s="374">
        <f>H25*0.2</f>
        <v>1159.6356629999998</v>
      </c>
      <c r="W25" s="373">
        <f t="shared" si="16"/>
        <v>4597.9052751209992</v>
      </c>
      <c r="X25" s="373">
        <f t="shared" si="2"/>
        <v>23192.713259999997</v>
      </c>
      <c r="Y25" s="374">
        <f>H25*0.2</f>
        <v>1159.6356629999998</v>
      </c>
      <c r="Z25" s="373">
        <f>H25-N25-Y25</f>
        <v>4597.9052751209992</v>
      </c>
      <c r="AA25" s="373">
        <f t="shared" si="4"/>
        <v>28990.891574999994</v>
      </c>
      <c r="AB25" s="376">
        <f>(AA25-25000)*0.27+(25000-X25)*0.2</f>
        <v>1438.9980732499992</v>
      </c>
      <c r="AC25" s="373">
        <f t="shared" si="18"/>
        <v>4318.5428648710003</v>
      </c>
      <c r="AD25" s="373">
        <f t="shared" si="5"/>
        <v>34789.069889999999</v>
      </c>
      <c r="AE25" s="376">
        <f t="shared" si="35"/>
        <v>1565.5081450499999</v>
      </c>
      <c r="AF25" s="373">
        <f t="shared" si="20"/>
        <v>4192.0327930709991</v>
      </c>
      <c r="AG25" s="373">
        <f t="shared" si="6"/>
        <v>40587.248204999996</v>
      </c>
      <c r="AH25" s="376">
        <f t="shared" si="36"/>
        <v>1565.5081450499999</v>
      </c>
      <c r="AI25" s="373">
        <f t="shared" si="21"/>
        <v>4192.0327930709991</v>
      </c>
      <c r="AJ25" s="373">
        <f t="shared" si="7"/>
        <v>46385.426519999994</v>
      </c>
      <c r="AK25" s="376">
        <f t="shared" si="37"/>
        <v>1565.5081450499999</v>
      </c>
      <c r="AL25" s="373">
        <f t="shared" si="22"/>
        <v>4192.0327930709991</v>
      </c>
      <c r="AM25" s="373">
        <f t="shared" si="8"/>
        <v>52183.604834999991</v>
      </c>
      <c r="AN25" s="376">
        <f t="shared" si="38"/>
        <v>1565.5081450499999</v>
      </c>
      <c r="AO25" s="373">
        <f t="shared" si="23"/>
        <v>4192.0327930709991</v>
      </c>
      <c r="AP25" s="373">
        <f t="shared" si="9"/>
        <v>57981.783149999988</v>
      </c>
      <c r="AQ25" s="376">
        <f>H25*0.27</f>
        <v>1565.5081450499999</v>
      </c>
      <c r="AR25" s="373">
        <f t="shared" si="25"/>
        <v>4192.0327930709991</v>
      </c>
      <c r="AS25" s="373">
        <f t="shared" si="10"/>
        <v>63779.961464999993</v>
      </c>
      <c r="AT25" s="376">
        <f>H25*0.27</f>
        <v>1565.5081450499999</v>
      </c>
      <c r="AU25" s="373">
        <f>H25-N25-AT25</f>
        <v>4192.0327930709991</v>
      </c>
      <c r="AV25" s="373">
        <f t="shared" si="11"/>
        <v>69578.139779999998</v>
      </c>
      <c r="AW25" s="376">
        <f t="shared" si="39"/>
        <v>1565.5081450499999</v>
      </c>
      <c r="AX25" s="373">
        <f t="shared" si="28"/>
        <v>4192.0327930709991</v>
      </c>
      <c r="AY25" s="371"/>
      <c r="BA25" s="358"/>
    </row>
    <row r="26" spans="1:53" s="233" customFormat="1" ht="30" hidden="1" customHeight="1" x14ac:dyDescent="0.45">
      <c r="A26" s="732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40"/>
        <v>7494.0299999999988</v>
      </c>
      <c r="G26" s="233">
        <v>278</v>
      </c>
      <c r="H26" s="353">
        <f>D26+E26*$H$5*$I26-G26</f>
        <v>5066.0760599999994</v>
      </c>
      <c r="I26" s="391">
        <v>0.52</v>
      </c>
      <c r="J26" s="362">
        <v>4000</v>
      </c>
      <c r="K26" s="361">
        <f t="shared" si="12"/>
        <v>3910.4646218039993</v>
      </c>
      <c r="L26" s="390"/>
      <c r="M26" s="390">
        <f t="shared" si="0"/>
        <v>4204.8006686064509</v>
      </c>
      <c r="N26" s="372">
        <f t="shared" si="13"/>
        <v>35.270901995999999</v>
      </c>
      <c r="O26" s="373">
        <f t="shared" si="14"/>
        <v>5066.0760599999994</v>
      </c>
      <c r="P26" s="378">
        <f t="shared" si="41"/>
        <v>759.91140899999994</v>
      </c>
      <c r="Q26" s="373">
        <f>H26-N26-P26</f>
        <v>4270.8937490039989</v>
      </c>
      <c r="R26" s="373">
        <f t="shared" si="15"/>
        <v>10132.152119999999</v>
      </c>
      <c r="S26" s="374">
        <f t="shared" ref="S26" si="42">(R26-10000)*0.2+(10000-O26)*0.15</f>
        <v>766.51901499999985</v>
      </c>
      <c r="T26" s="373">
        <f>H26-N26-S26</f>
        <v>4264.2861430039993</v>
      </c>
      <c r="U26" s="373">
        <f t="shared" si="1"/>
        <v>15198.228179999998</v>
      </c>
      <c r="V26" s="374">
        <f>H26*0.2</f>
        <v>1013.215212</v>
      </c>
      <c r="W26" s="373">
        <f t="shared" si="16"/>
        <v>4017.5899460039991</v>
      </c>
      <c r="X26" s="373">
        <f t="shared" si="2"/>
        <v>20264.304239999998</v>
      </c>
      <c r="Y26" s="374">
        <f>H26*0.2</f>
        <v>1013.215212</v>
      </c>
      <c r="Z26" s="373">
        <f>H26-N26-Y26</f>
        <v>4017.5899460039991</v>
      </c>
      <c r="AA26" s="373">
        <f t="shared" si="4"/>
        <v>25330.380299999997</v>
      </c>
      <c r="AB26" s="376">
        <f>(AA26-25000)*0.27+(25000-X26)*0.2</f>
        <v>1036.3418329999997</v>
      </c>
      <c r="AC26" s="373">
        <f t="shared" si="18"/>
        <v>3994.4633250039997</v>
      </c>
      <c r="AD26" s="373">
        <f t="shared" si="5"/>
        <v>30396.456359999996</v>
      </c>
      <c r="AE26" s="376">
        <f t="shared" si="35"/>
        <v>1367.8405361999999</v>
      </c>
      <c r="AF26" s="373">
        <f t="shared" si="20"/>
        <v>3662.9646218039993</v>
      </c>
      <c r="AG26" s="373">
        <f t="shared" si="6"/>
        <v>35462.532419999996</v>
      </c>
      <c r="AH26" s="376">
        <f t="shared" si="36"/>
        <v>1367.8405361999999</v>
      </c>
      <c r="AI26" s="373">
        <f t="shared" si="21"/>
        <v>3662.9646218039993</v>
      </c>
      <c r="AJ26" s="373">
        <f t="shared" si="7"/>
        <v>40528.608479999995</v>
      </c>
      <c r="AK26" s="376">
        <f t="shared" si="37"/>
        <v>1367.8405361999999</v>
      </c>
      <c r="AL26" s="373">
        <f t="shared" si="22"/>
        <v>3662.9646218039993</v>
      </c>
      <c r="AM26" s="373">
        <f t="shared" si="8"/>
        <v>45594.684539999995</v>
      </c>
      <c r="AN26" s="376">
        <f t="shared" si="38"/>
        <v>1367.8405361999999</v>
      </c>
      <c r="AO26" s="373">
        <f t="shared" si="23"/>
        <v>3662.9646218039993</v>
      </c>
      <c r="AP26" s="373">
        <f t="shared" si="9"/>
        <v>50660.760599999994</v>
      </c>
      <c r="AQ26" s="376">
        <f>H26*0.27</f>
        <v>1367.8405361999999</v>
      </c>
      <c r="AR26" s="373">
        <f t="shared" si="25"/>
        <v>3662.9646218039993</v>
      </c>
      <c r="AS26" s="373">
        <f t="shared" si="10"/>
        <v>55726.836659999994</v>
      </c>
      <c r="AT26" s="376">
        <f>H26*0.27</f>
        <v>1367.8405361999999</v>
      </c>
      <c r="AU26" s="373">
        <f>H26-N26-AT26</f>
        <v>3662.9646218039993</v>
      </c>
      <c r="AV26" s="373">
        <f t="shared" si="11"/>
        <v>60792.912719999993</v>
      </c>
      <c r="AW26" s="376">
        <f t="shared" si="39"/>
        <v>1367.8405361999999</v>
      </c>
      <c r="AX26" s="373">
        <f t="shared" si="28"/>
        <v>3662.9646218039993</v>
      </c>
      <c r="AY26" s="371"/>
      <c r="BA26" s="358"/>
    </row>
    <row r="27" spans="1:53" s="233" customFormat="1" ht="30" hidden="1" customHeight="1" x14ac:dyDescent="0.45">
      <c r="A27" s="733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40"/>
        <v>7494.0299999999988</v>
      </c>
      <c r="G27" s="233">
        <v>278</v>
      </c>
      <c r="H27" s="353">
        <f t="shared" si="29"/>
        <v>3749.6247899999998</v>
      </c>
      <c r="I27" s="391">
        <v>0.18</v>
      </c>
      <c r="J27" s="362">
        <v>3000</v>
      </c>
      <c r="K27" s="361">
        <f t="shared" si="12"/>
        <v>2958.1437730859993</v>
      </c>
      <c r="L27" s="390"/>
      <c r="M27" s="390">
        <f t="shared" si="0"/>
        <v>3180.7997560064509</v>
      </c>
      <c r="N27" s="372">
        <f t="shared" si="13"/>
        <v>26.582323614</v>
      </c>
      <c r="O27" s="373">
        <f t="shared" si="14"/>
        <v>3749.6247899999998</v>
      </c>
      <c r="P27" s="378">
        <f t="shared" si="41"/>
        <v>562.44371849999993</v>
      </c>
      <c r="Q27" s="373">
        <f>H27-N27-P27</f>
        <v>3160.5987478859997</v>
      </c>
      <c r="R27" s="373">
        <f t="shared" si="15"/>
        <v>7499.2495799999997</v>
      </c>
      <c r="S27" s="378">
        <f>H27*0.15</f>
        <v>562.44371849999993</v>
      </c>
      <c r="T27" s="373">
        <f>H27-N27-S27</f>
        <v>3160.5987478859997</v>
      </c>
      <c r="U27" s="373">
        <f t="shared" si="1"/>
        <v>11248.87437</v>
      </c>
      <c r="V27" s="374">
        <f>(U27-10000)*0.2+(10000-R27)*0.15</f>
        <v>624.88743699999998</v>
      </c>
      <c r="W27" s="373">
        <f t="shared" si="16"/>
        <v>3098.155029386</v>
      </c>
      <c r="X27" s="373">
        <f t="shared" si="2"/>
        <v>14998.499159999999</v>
      </c>
      <c r="Y27" s="374">
        <f>H27*0.2</f>
        <v>749.92495800000006</v>
      </c>
      <c r="Z27" s="373">
        <f>H27-N27-Y27</f>
        <v>2973.1175083859998</v>
      </c>
      <c r="AA27" s="373">
        <f t="shared" si="4"/>
        <v>18748.123950000001</v>
      </c>
      <c r="AB27" s="374">
        <f>H27*0.2</f>
        <v>749.92495800000006</v>
      </c>
      <c r="AC27" s="373">
        <f t="shared" si="18"/>
        <v>2973.1175083859998</v>
      </c>
      <c r="AD27" s="373">
        <f t="shared" si="5"/>
        <v>22497.748739999999</v>
      </c>
      <c r="AE27" s="374">
        <f>H27*0.2</f>
        <v>749.92495800000006</v>
      </c>
      <c r="AF27" s="373">
        <f t="shared" si="20"/>
        <v>2973.1175083859998</v>
      </c>
      <c r="AG27" s="373">
        <f t="shared" si="6"/>
        <v>26247.373529999997</v>
      </c>
      <c r="AH27" s="376">
        <f>(AG27-25000)*0.27+(25000-AD27)*0.2</f>
        <v>837.24110509999946</v>
      </c>
      <c r="AI27" s="373">
        <f t="shared" si="21"/>
        <v>2885.8013612860004</v>
      </c>
      <c r="AJ27" s="373">
        <f t="shared" si="7"/>
        <v>29996.998319999999</v>
      </c>
      <c r="AK27" s="376">
        <f t="shared" si="37"/>
        <v>1012.3986933</v>
      </c>
      <c r="AL27" s="373">
        <f t="shared" si="22"/>
        <v>2710.6437730859998</v>
      </c>
      <c r="AM27" s="373">
        <f t="shared" si="8"/>
        <v>33746.62311</v>
      </c>
      <c r="AN27" s="376">
        <f t="shared" si="38"/>
        <v>1012.3986933</v>
      </c>
      <c r="AO27" s="373">
        <f t="shared" si="23"/>
        <v>2710.6437730859998</v>
      </c>
      <c r="AP27" s="373">
        <f t="shared" si="9"/>
        <v>37496.247900000002</v>
      </c>
      <c r="AQ27" s="376">
        <f>H27*0.27</f>
        <v>1012.3986933</v>
      </c>
      <c r="AR27" s="373">
        <f t="shared" si="25"/>
        <v>2710.6437730859998</v>
      </c>
      <c r="AS27" s="373">
        <f t="shared" si="10"/>
        <v>41245.872689999997</v>
      </c>
      <c r="AT27" s="376">
        <f>H27*0.27</f>
        <v>1012.3986933</v>
      </c>
      <c r="AU27" s="373">
        <f>H27-N27-AT27</f>
        <v>2710.6437730859998</v>
      </c>
      <c r="AV27" s="373">
        <f t="shared" si="11"/>
        <v>44995.497479999998</v>
      </c>
      <c r="AW27" s="376">
        <f t="shared" si="39"/>
        <v>1012.3986933</v>
      </c>
      <c r="AX27" s="373">
        <f t="shared" si="28"/>
        <v>2710.6437730859998</v>
      </c>
      <c r="AY27" s="371"/>
      <c r="BA27" s="358"/>
    </row>
    <row r="28" spans="1:53" s="233" customFormat="1" ht="28.5" hidden="1" x14ac:dyDescent="0.45">
      <c r="A28" s="754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29"/>
        <v>2223.6737480000002</v>
      </c>
      <c r="I28" s="391">
        <v>0.54</v>
      </c>
      <c r="J28" s="362">
        <v>1795</v>
      </c>
      <c r="K28" s="361">
        <f t="shared" si="12"/>
        <v>1854.2707893032</v>
      </c>
      <c r="L28" s="390"/>
      <c r="M28" s="390">
        <f t="shared" si="0"/>
        <v>1993.8395583905376</v>
      </c>
      <c r="N28" s="372">
        <f t="shared" si="13"/>
        <v>16.511046736800001</v>
      </c>
      <c r="O28" s="373">
        <f t="shared" si="14"/>
        <v>2223.6737480000002</v>
      </c>
      <c r="P28" s="378">
        <f t="shared" si="41"/>
        <v>333.55106219999999</v>
      </c>
      <c r="Q28" s="373">
        <f>H28-N28-P28</f>
        <v>1873.6116390632003</v>
      </c>
      <c r="R28" s="373">
        <f t="shared" si="15"/>
        <v>4447.3474960000003</v>
      </c>
      <c r="S28" s="378">
        <f>H28*0.15</f>
        <v>333.55106219999999</v>
      </c>
      <c r="T28" s="373">
        <f>H28-N28-S28</f>
        <v>1873.6116390632003</v>
      </c>
      <c r="U28" s="373">
        <f t="shared" si="1"/>
        <v>6671.0212440000005</v>
      </c>
      <c r="V28" s="378">
        <f>H28*0.15</f>
        <v>333.55106219999999</v>
      </c>
      <c r="W28" s="373">
        <f t="shared" si="16"/>
        <v>1873.6116390632003</v>
      </c>
      <c r="X28" s="373">
        <f t="shared" si="2"/>
        <v>8894.6949920000006</v>
      </c>
      <c r="Y28" s="378">
        <f>H28*0.15</f>
        <v>333.55106219999999</v>
      </c>
      <c r="Z28" s="373">
        <f>H28-N28-Y28</f>
        <v>1873.6116390632003</v>
      </c>
      <c r="AA28" s="373">
        <f t="shared" si="4"/>
        <v>11118.368740000002</v>
      </c>
      <c r="AB28" s="374">
        <f>(AA28-10000)*0.2+(10000-X28)*0.15</f>
        <v>389.46949920000026</v>
      </c>
      <c r="AC28" s="373">
        <f t="shared" si="18"/>
        <v>1817.6932020632</v>
      </c>
      <c r="AD28" s="373">
        <f t="shared" si="5"/>
        <v>13342.042488000001</v>
      </c>
      <c r="AE28" s="374">
        <f>H28*0.2</f>
        <v>444.73474960000004</v>
      </c>
      <c r="AF28" s="373">
        <f t="shared" si="20"/>
        <v>1762.4279516632002</v>
      </c>
      <c r="AG28" s="373">
        <f t="shared" si="6"/>
        <v>15565.716236</v>
      </c>
      <c r="AH28" s="374">
        <f>H28*0.2</f>
        <v>444.73474960000004</v>
      </c>
      <c r="AI28" s="373">
        <f t="shared" si="21"/>
        <v>1762.4279516632002</v>
      </c>
      <c r="AJ28" s="373">
        <f t="shared" si="7"/>
        <v>17789.389984000001</v>
      </c>
      <c r="AK28" s="374">
        <f>H28*0.2</f>
        <v>444.73474960000004</v>
      </c>
      <c r="AL28" s="373">
        <f t="shared" si="22"/>
        <v>1762.4279516632002</v>
      </c>
      <c r="AM28" s="373">
        <f t="shared" si="8"/>
        <v>20013.063732000002</v>
      </c>
      <c r="AN28" s="374">
        <f>H28*0.2</f>
        <v>444.73474960000004</v>
      </c>
      <c r="AO28" s="373">
        <f t="shared" si="23"/>
        <v>1762.4279516632002</v>
      </c>
      <c r="AP28" s="373">
        <f t="shared" si="9"/>
        <v>22236.737480000003</v>
      </c>
      <c r="AQ28" s="374">
        <f>H28*0.2</f>
        <v>444.73474960000004</v>
      </c>
      <c r="AR28" s="373">
        <f t="shared" si="25"/>
        <v>1762.4279516632002</v>
      </c>
      <c r="AS28" s="373">
        <f t="shared" si="10"/>
        <v>24460.411228000001</v>
      </c>
      <c r="AT28" s="374">
        <f>H28*0.2</f>
        <v>444.73474960000004</v>
      </c>
      <c r="AU28" s="373">
        <f>H28-N28-AT28</f>
        <v>1762.4279516632002</v>
      </c>
      <c r="AV28" s="373">
        <f t="shared" si="11"/>
        <v>26684.084976000002</v>
      </c>
      <c r="AW28" s="376">
        <f>(AV28-25000)*0.27+(25000-AS28)*0.2</f>
        <v>562.62069792000034</v>
      </c>
      <c r="AX28" s="373">
        <f t="shared" si="28"/>
        <v>1644.5420033431999</v>
      </c>
      <c r="AY28" s="371"/>
      <c r="BA28" s="358"/>
    </row>
    <row r="29" spans="1:53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1</v>
      </c>
      <c r="I29" s="363"/>
      <c r="J29" s="233"/>
      <c r="K29" s="361"/>
      <c r="L29" s="390"/>
      <c r="M29" s="390"/>
      <c r="N29" s="372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5"/>
      <c r="BA29" s="358"/>
    </row>
    <row r="30" spans="1:53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43">D30+E30</f>
        <v>24980.1</v>
      </c>
      <c r="G30" s="233">
        <v>359</v>
      </c>
      <c r="H30" s="353">
        <f>D30+E30*$H$29*$I30-G30</f>
        <v>17626.671999999999</v>
      </c>
      <c r="I30" s="363">
        <v>0.65</v>
      </c>
      <c r="J30" s="362">
        <v>11900</v>
      </c>
      <c r="K30" s="361">
        <f t="shared" si="12"/>
        <v>12172.798031466664</v>
      </c>
      <c r="L30" s="390">
        <v>11550.482589181869</v>
      </c>
      <c r="M30" s="390">
        <f>K30-L30</f>
        <v>622.3154422847947</v>
      </c>
      <c r="N30" s="372">
        <f t="shared" si="13"/>
        <v>118.7054352</v>
      </c>
      <c r="O30" s="373">
        <f t="shared" ref="O30:O54" si="44">$H30*O$4</f>
        <v>17626.671999999999</v>
      </c>
      <c r="P30" s="374">
        <f t="shared" ref="P30:P44" si="45">(O30-10000)*0.2+10000*0.15</f>
        <v>3025.3343999999997</v>
      </c>
      <c r="Q30" s="373">
        <f t="shared" ref="Q30:Q54" si="46">H30-N30-P30</f>
        <v>14482.632164799998</v>
      </c>
      <c r="R30" s="373">
        <f t="shared" ref="R30:R54" si="47">$H30*2</f>
        <v>35253.343999999997</v>
      </c>
      <c r="S30" s="376">
        <f>(R30-25000)*0.27+(25000-O30)*0.2</f>
        <v>4243.0684799999999</v>
      </c>
      <c r="T30" s="373">
        <f t="shared" ref="T30:T54" si="48">H30-N30-S30</f>
        <v>13264.898084799997</v>
      </c>
      <c r="U30" s="373">
        <f t="shared" ref="U30:U54" si="49">H30*3</f>
        <v>52880.015999999996</v>
      </c>
      <c r="V30" s="376">
        <f t="shared" ref="V30:V34" si="50">O30*0.27</f>
        <v>4759.2014399999998</v>
      </c>
      <c r="W30" s="373">
        <f t="shared" ref="W30:W54" si="51">H30-N30-V30</f>
        <v>12748.765124799997</v>
      </c>
      <c r="X30" s="373">
        <f t="shared" ref="X30:X54" si="52">H30*4</f>
        <v>70506.687999999995</v>
      </c>
      <c r="Y30" s="376">
        <f t="shared" ref="Y30:Y48" si="53">H30*0.27</f>
        <v>4759.2014399999998</v>
      </c>
      <c r="Z30" s="373">
        <f t="shared" ref="Z30:Z54" si="54">H30-N30-Y30</f>
        <v>12748.765124799997</v>
      </c>
      <c r="AA30" s="373">
        <f t="shared" ref="AA30:AA54" si="55">H30*5</f>
        <v>88133.359999999986</v>
      </c>
      <c r="AB30" s="377">
        <f>(AA30-88000)*0.35+(88000-X30)*0.27</f>
        <v>4769.8702399999966</v>
      </c>
      <c r="AC30" s="373">
        <f>H30-N30-AB30</f>
        <v>12738.096324800001</v>
      </c>
      <c r="AD30" s="373">
        <f t="shared" ref="AD30:AD54" si="56">H30*6</f>
        <v>105760.03199999999</v>
      </c>
      <c r="AE30" s="377">
        <f>H30*0.35</f>
        <v>6169.3351999999995</v>
      </c>
      <c r="AF30" s="373">
        <f>H30-N30-AE30</f>
        <v>11338.631364799998</v>
      </c>
      <c r="AG30" s="373">
        <f t="shared" ref="AG30:AG54" si="57">H30*7</f>
        <v>123386.704</v>
      </c>
      <c r="AH30" s="377">
        <f>H30*0.35</f>
        <v>6169.3351999999995</v>
      </c>
      <c r="AI30" s="373">
        <f t="shared" ref="AI30:AI54" si="58">H30-N30-AH30</f>
        <v>11338.631364799998</v>
      </c>
      <c r="AJ30" s="373">
        <f t="shared" ref="AJ30:AJ54" si="59">H30*8</f>
        <v>141013.37599999999</v>
      </c>
      <c r="AK30" s="377">
        <f>H30*0.35</f>
        <v>6169.3351999999995</v>
      </c>
      <c r="AL30" s="373">
        <f t="shared" ref="AL30:AL54" si="60">H30-N30-AK30</f>
        <v>11338.631364799998</v>
      </c>
      <c r="AM30" s="373">
        <f t="shared" ref="AM30:AM54" si="61">H30*9</f>
        <v>158640.04799999998</v>
      </c>
      <c r="AN30" s="377">
        <f>H30*0.35</f>
        <v>6169.3351999999995</v>
      </c>
      <c r="AO30" s="373">
        <f t="shared" ref="AO30:AO54" si="62">H30-N30-AN30</f>
        <v>11338.631364799998</v>
      </c>
      <c r="AP30" s="373">
        <f t="shared" ref="AP30:AP54" si="63">H30*10</f>
        <v>176266.71999999997</v>
      </c>
      <c r="AQ30" s="377">
        <f>H30*0.35</f>
        <v>6169.3351999999995</v>
      </c>
      <c r="AR30" s="373">
        <f>H30-N30-AQ30</f>
        <v>11338.631364799998</v>
      </c>
      <c r="AS30" s="373">
        <f t="shared" ref="AS30:AS54" si="64">H30*11</f>
        <v>193893.39199999999</v>
      </c>
      <c r="AT30" s="377">
        <f t="shared" ref="AT30:AT38" si="65">H30*0.35</f>
        <v>6169.3351999999995</v>
      </c>
      <c r="AU30" s="373">
        <f t="shared" ref="AU30:AU54" si="66">H30-N30-AT30</f>
        <v>11338.631364799998</v>
      </c>
      <c r="AV30" s="373">
        <f t="shared" ref="AV30:AV54" si="67">H30*12</f>
        <v>211520.06399999998</v>
      </c>
      <c r="AW30" s="377">
        <f t="shared" ref="AW30:AW46" si="68">H30*0.35</f>
        <v>6169.3351999999995</v>
      </c>
      <c r="AX30" s="373">
        <f t="shared" ref="AX30:AX54" si="69">H30-N30-AW30</f>
        <v>11338.631364799998</v>
      </c>
      <c r="AY30" s="292"/>
      <c r="BA30" s="358"/>
    </row>
    <row r="31" spans="1:53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43"/>
        <v>24980.1</v>
      </c>
      <c r="G31" s="233">
        <v>359</v>
      </c>
      <c r="H31" s="353">
        <f t="shared" ref="H31:H54" si="70">D31+E31*$H$29*$I31-G31</f>
        <v>17626.671999999999</v>
      </c>
      <c r="I31" s="363">
        <v>0.65</v>
      </c>
      <c r="J31" s="362">
        <v>8000</v>
      </c>
      <c r="K31" s="361">
        <f t="shared" si="12"/>
        <v>12172.798031466664</v>
      </c>
      <c r="L31" s="390">
        <v>7803.7321784010674</v>
      </c>
      <c r="M31" s="390">
        <f t="shared" ref="M31:M54" si="71">K31-L31</f>
        <v>4369.0658530655965</v>
      </c>
      <c r="N31" s="372">
        <f t="shared" si="13"/>
        <v>118.7054352</v>
      </c>
      <c r="O31" s="373">
        <f t="shared" si="44"/>
        <v>17626.671999999999</v>
      </c>
      <c r="P31" s="374">
        <f t="shared" si="45"/>
        <v>3025.3343999999997</v>
      </c>
      <c r="Q31" s="373">
        <f t="shared" si="46"/>
        <v>14482.632164799998</v>
      </c>
      <c r="R31" s="373">
        <f t="shared" si="47"/>
        <v>35253.343999999997</v>
      </c>
      <c r="S31" s="376">
        <f t="shared" ref="S31:S34" si="72">(R31-25000)*0.27+(25000-O31)*0.2</f>
        <v>4243.0684799999999</v>
      </c>
      <c r="T31" s="373">
        <f t="shared" si="48"/>
        <v>13264.898084799997</v>
      </c>
      <c r="U31" s="373">
        <f t="shared" si="49"/>
        <v>52880.015999999996</v>
      </c>
      <c r="V31" s="376">
        <f t="shared" si="50"/>
        <v>4759.2014399999998</v>
      </c>
      <c r="W31" s="373">
        <f t="shared" si="51"/>
        <v>12748.765124799997</v>
      </c>
      <c r="X31" s="373">
        <f t="shared" si="52"/>
        <v>70506.687999999995</v>
      </c>
      <c r="Y31" s="376">
        <f t="shared" si="53"/>
        <v>4759.2014399999998</v>
      </c>
      <c r="Z31" s="373">
        <f t="shared" si="54"/>
        <v>12748.765124799997</v>
      </c>
      <c r="AA31" s="373">
        <f t="shared" si="55"/>
        <v>88133.359999999986</v>
      </c>
      <c r="AB31" s="377">
        <f t="shared" ref="AB31:AB32" si="73">(AA31-88000)*0.35+(88000-X31)*0.27</f>
        <v>4769.8702399999966</v>
      </c>
      <c r="AC31" s="373">
        <f t="shared" ref="AC31:AC54" si="74">H31-N31-AB31</f>
        <v>12738.096324800001</v>
      </c>
      <c r="AD31" s="373">
        <f t="shared" si="56"/>
        <v>105760.03199999999</v>
      </c>
      <c r="AE31" s="377">
        <f t="shared" ref="AE31:AE32" si="75">H31*0.35</f>
        <v>6169.3351999999995</v>
      </c>
      <c r="AF31" s="373">
        <f t="shared" ref="AF31:AF54" si="76">H31-N31-AE31</f>
        <v>11338.631364799998</v>
      </c>
      <c r="AG31" s="373">
        <f t="shared" si="57"/>
        <v>123386.704</v>
      </c>
      <c r="AH31" s="377">
        <f t="shared" ref="AH31:AH32" si="77">H31*0.35</f>
        <v>6169.3351999999995</v>
      </c>
      <c r="AI31" s="373">
        <f t="shared" si="58"/>
        <v>11338.631364799998</v>
      </c>
      <c r="AJ31" s="373">
        <f t="shared" si="59"/>
        <v>141013.37599999999</v>
      </c>
      <c r="AK31" s="377">
        <f t="shared" ref="AK31:AK32" si="78">H31*0.35</f>
        <v>6169.3351999999995</v>
      </c>
      <c r="AL31" s="373">
        <f t="shared" si="60"/>
        <v>11338.631364799998</v>
      </c>
      <c r="AM31" s="373">
        <f t="shared" si="61"/>
        <v>158640.04799999998</v>
      </c>
      <c r="AN31" s="377">
        <f t="shared" ref="AN31:AN38" si="79">H31*0.35</f>
        <v>6169.3351999999995</v>
      </c>
      <c r="AO31" s="373">
        <f t="shared" si="62"/>
        <v>11338.631364799998</v>
      </c>
      <c r="AP31" s="373">
        <f t="shared" si="63"/>
        <v>176266.71999999997</v>
      </c>
      <c r="AQ31" s="377">
        <f t="shared" ref="AQ31:AQ44" si="80">H31*0.35</f>
        <v>6169.3351999999995</v>
      </c>
      <c r="AR31" s="373">
        <f t="shared" ref="AR31:AR54" si="81">H31-N31-AQ31</f>
        <v>11338.631364799998</v>
      </c>
      <c r="AS31" s="373">
        <f t="shared" si="64"/>
        <v>193893.39199999999</v>
      </c>
      <c r="AT31" s="377">
        <f t="shared" si="65"/>
        <v>6169.3351999999995</v>
      </c>
      <c r="AU31" s="373">
        <f t="shared" si="66"/>
        <v>11338.631364799998</v>
      </c>
      <c r="AV31" s="373">
        <f t="shared" si="67"/>
        <v>211520.06399999998</v>
      </c>
      <c r="AW31" s="377">
        <f t="shared" si="68"/>
        <v>6169.3351999999995</v>
      </c>
      <c r="AX31" s="373">
        <f t="shared" si="69"/>
        <v>11338.631364799998</v>
      </c>
      <c r="AY31" s="292"/>
      <c r="BA31" s="358"/>
    </row>
    <row r="32" spans="1:53" ht="28.5" x14ac:dyDescent="0.45">
      <c r="A32" s="716"/>
      <c r="B32" s="461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70"/>
        <v>17626.671999999999</v>
      </c>
      <c r="I32" s="363">
        <v>0.65</v>
      </c>
      <c r="J32" s="362">
        <v>6844</v>
      </c>
      <c r="K32" s="361">
        <f t="shared" si="12"/>
        <v>12172.798031466664</v>
      </c>
      <c r="L32" s="390">
        <v>6836.8288465866681</v>
      </c>
      <c r="M32" s="390">
        <f t="shared" si="71"/>
        <v>5335.9691848799957</v>
      </c>
      <c r="N32" s="372">
        <f t="shared" si="13"/>
        <v>118.7054352</v>
      </c>
      <c r="O32" s="373">
        <f t="shared" si="44"/>
        <v>17626.671999999999</v>
      </c>
      <c r="P32" s="374">
        <f t="shared" si="45"/>
        <v>3025.3343999999997</v>
      </c>
      <c r="Q32" s="373">
        <f t="shared" si="46"/>
        <v>14482.632164799998</v>
      </c>
      <c r="R32" s="373">
        <f t="shared" si="47"/>
        <v>35253.343999999997</v>
      </c>
      <c r="S32" s="376">
        <f t="shared" si="72"/>
        <v>4243.0684799999999</v>
      </c>
      <c r="T32" s="373">
        <f t="shared" si="48"/>
        <v>13264.898084799997</v>
      </c>
      <c r="U32" s="373">
        <f t="shared" si="49"/>
        <v>52880.015999999996</v>
      </c>
      <c r="V32" s="376">
        <f t="shared" si="50"/>
        <v>4759.2014399999998</v>
      </c>
      <c r="W32" s="373">
        <f t="shared" si="51"/>
        <v>12748.765124799997</v>
      </c>
      <c r="X32" s="373">
        <f t="shared" si="52"/>
        <v>70506.687999999995</v>
      </c>
      <c r="Y32" s="376">
        <f t="shared" si="53"/>
        <v>4759.2014399999998</v>
      </c>
      <c r="Z32" s="373">
        <f t="shared" si="54"/>
        <v>12748.765124799997</v>
      </c>
      <c r="AA32" s="373">
        <f t="shared" si="55"/>
        <v>88133.359999999986</v>
      </c>
      <c r="AB32" s="377">
        <f t="shared" si="73"/>
        <v>4769.8702399999966</v>
      </c>
      <c r="AC32" s="373">
        <f t="shared" si="74"/>
        <v>12738.096324800001</v>
      </c>
      <c r="AD32" s="373">
        <f t="shared" si="56"/>
        <v>105760.03199999999</v>
      </c>
      <c r="AE32" s="377">
        <f t="shared" si="75"/>
        <v>6169.3351999999995</v>
      </c>
      <c r="AF32" s="373">
        <f t="shared" si="76"/>
        <v>11338.631364799998</v>
      </c>
      <c r="AG32" s="373">
        <f t="shared" si="57"/>
        <v>123386.704</v>
      </c>
      <c r="AH32" s="377">
        <f t="shared" si="77"/>
        <v>6169.3351999999995</v>
      </c>
      <c r="AI32" s="373">
        <f t="shared" si="58"/>
        <v>11338.631364799998</v>
      </c>
      <c r="AJ32" s="373">
        <f t="shared" si="59"/>
        <v>141013.37599999999</v>
      </c>
      <c r="AK32" s="377">
        <f t="shared" si="78"/>
        <v>6169.3351999999995</v>
      </c>
      <c r="AL32" s="373">
        <f t="shared" si="60"/>
        <v>11338.631364799998</v>
      </c>
      <c r="AM32" s="373">
        <f t="shared" si="61"/>
        <v>158640.04799999998</v>
      </c>
      <c r="AN32" s="377">
        <f t="shared" si="79"/>
        <v>6169.3351999999995</v>
      </c>
      <c r="AO32" s="373">
        <f t="shared" si="62"/>
        <v>11338.631364799998</v>
      </c>
      <c r="AP32" s="373">
        <f t="shared" si="63"/>
        <v>176266.71999999997</v>
      </c>
      <c r="AQ32" s="377">
        <f t="shared" si="80"/>
        <v>6169.3351999999995</v>
      </c>
      <c r="AR32" s="373">
        <f t="shared" si="81"/>
        <v>11338.631364799998</v>
      </c>
      <c r="AS32" s="373">
        <f t="shared" si="64"/>
        <v>193893.39199999999</v>
      </c>
      <c r="AT32" s="377">
        <f t="shared" si="65"/>
        <v>6169.3351999999995</v>
      </c>
      <c r="AU32" s="373">
        <f t="shared" si="66"/>
        <v>11338.631364799998</v>
      </c>
      <c r="AV32" s="373">
        <f t="shared" si="67"/>
        <v>211520.06399999998</v>
      </c>
      <c r="AW32" s="377">
        <f t="shared" si="68"/>
        <v>6169.3351999999995</v>
      </c>
      <c r="AX32" s="373">
        <f t="shared" si="69"/>
        <v>11338.631364799998</v>
      </c>
      <c r="AY32" s="292"/>
      <c r="BA32" s="358"/>
    </row>
    <row r="33" spans="1:53" ht="28.5" x14ac:dyDescent="0.45">
      <c r="A33" s="716"/>
      <c r="B33" s="347" t="s">
        <v>32</v>
      </c>
      <c r="C33" s="283">
        <v>450</v>
      </c>
      <c r="D33" s="238">
        <v>4996.0199999999995</v>
      </c>
      <c r="E33" s="238">
        <v>14988.06</v>
      </c>
      <c r="F33" s="238">
        <f t="shared" si="43"/>
        <v>19984.079999999998</v>
      </c>
      <c r="G33" s="233">
        <v>359</v>
      </c>
      <c r="H33" s="353">
        <f t="shared" si="70"/>
        <v>14379.258999999998</v>
      </c>
      <c r="I33" s="363">
        <v>0.65</v>
      </c>
      <c r="J33" s="362">
        <v>9500</v>
      </c>
      <c r="K33" s="361">
        <f t="shared" si="12"/>
        <v>10083.412507266665</v>
      </c>
      <c r="L33" s="390">
        <v>9254.0871761226681</v>
      </c>
      <c r="M33" s="390">
        <f t="shared" si="71"/>
        <v>829.32533114399666</v>
      </c>
      <c r="N33" s="372">
        <f t="shared" si="13"/>
        <v>97.27250939999999</v>
      </c>
      <c r="O33" s="373">
        <f t="shared" si="44"/>
        <v>14379.258999999998</v>
      </c>
      <c r="P33" s="374">
        <f t="shared" si="45"/>
        <v>2375.8517999999995</v>
      </c>
      <c r="Q33" s="373">
        <f t="shared" si="46"/>
        <v>11906.1346906</v>
      </c>
      <c r="R33" s="373">
        <f t="shared" si="47"/>
        <v>28758.517999999996</v>
      </c>
      <c r="S33" s="376">
        <f t="shared" si="72"/>
        <v>3138.9480599999997</v>
      </c>
      <c r="T33" s="373">
        <f t="shared" si="48"/>
        <v>11143.038430599998</v>
      </c>
      <c r="U33" s="373">
        <f t="shared" si="49"/>
        <v>43137.776999999995</v>
      </c>
      <c r="V33" s="376">
        <f t="shared" si="50"/>
        <v>3882.3999299999996</v>
      </c>
      <c r="W33" s="373">
        <f t="shared" si="51"/>
        <v>10399.586560599999</v>
      </c>
      <c r="X33" s="373">
        <f t="shared" si="52"/>
        <v>57517.035999999993</v>
      </c>
      <c r="Y33" s="376">
        <f t="shared" si="53"/>
        <v>3882.3999299999996</v>
      </c>
      <c r="Z33" s="373">
        <f t="shared" si="54"/>
        <v>10399.586560599999</v>
      </c>
      <c r="AA33" s="373">
        <f t="shared" si="55"/>
        <v>71896.294999999984</v>
      </c>
      <c r="AB33" s="376">
        <f t="shared" ref="AB33:AB51" si="82">H33*0.27</f>
        <v>3882.3999299999996</v>
      </c>
      <c r="AC33" s="373">
        <f t="shared" si="74"/>
        <v>10399.586560599999</v>
      </c>
      <c r="AD33" s="373">
        <f t="shared" si="56"/>
        <v>86275.553999999989</v>
      </c>
      <c r="AE33" s="376">
        <f t="shared" ref="AE33:AE38" si="83">H33*0.27</f>
        <v>3882.3999299999996</v>
      </c>
      <c r="AF33" s="373">
        <f t="shared" si="76"/>
        <v>10399.586560599999</v>
      </c>
      <c r="AG33" s="373">
        <f t="shared" si="57"/>
        <v>100654.81299999999</v>
      </c>
      <c r="AH33" s="377">
        <f t="shared" ref="AH33:AH34" si="84">(AG33-88000)*0.35+(88000-AD33)*0.27</f>
        <v>4894.7849700000006</v>
      </c>
      <c r="AI33" s="373">
        <f t="shared" si="58"/>
        <v>9387.2015205999978</v>
      </c>
      <c r="AJ33" s="373">
        <f t="shared" si="59"/>
        <v>115034.07199999999</v>
      </c>
      <c r="AK33" s="377">
        <f>H33*0.35</f>
        <v>5032.7406499999988</v>
      </c>
      <c r="AL33" s="373">
        <f t="shared" si="60"/>
        <v>9249.2458406000005</v>
      </c>
      <c r="AM33" s="373">
        <f t="shared" si="61"/>
        <v>129413.33099999998</v>
      </c>
      <c r="AN33" s="377">
        <f t="shared" si="79"/>
        <v>5032.7406499999988</v>
      </c>
      <c r="AO33" s="373">
        <f t="shared" si="62"/>
        <v>9249.2458406000005</v>
      </c>
      <c r="AP33" s="373">
        <f t="shared" si="63"/>
        <v>143792.58999999997</v>
      </c>
      <c r="AQ33" s="377">
        <f t="shared" si="80"/>
        <v>5032.7406499999988</v>
      </c>
      <c r="AR33" s="373">
        <f t="shared" si="81"/>
        <v>9249.2458406000005</v>
      </c>
      <c r="AS33" s="373">
        <f t="shared" si="64"/>
        <v>158171.84899999999</v>
      </c>
      <c r="AT33" s="377">
        <f t="shared" si="65"/>
        <v>5032.7406499999988</v>
      </c>
      <c r="AU33" s="373">
        <f t="shared" si="66"/>
        <v>9249.2458406000005</v>
      </c>
      <c r="AV33" s="373">
        <f t="shared" si="67"/>
        <v>172551.10799999998</v>
      </c>
      <c r="AW33" s="377">
        <f t="shared" si="68"/>
        <v>5032.7406499999988</v>
      </c>
      <c r="AX33" s="373">
        <f t="shared" si="69"/>
        <v>9249.2458406000005</v>
      </c>
      <c r="AY33" s="292"/>
      <c r="BA33" s="358"/>
    </row>
    <row r="34" spans="1:53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43"/>
        <v>19984.079999999998</v>
      </c>
      <c r="G34" s="233">
        <v>359</v>
      </c>
      <c r="H34" s="353">
        <f t="shared" si="70"/>
        <v>14379.258999999998</v>
      </c>
      <c r="I34" s="363">
        <v>0.65</v>
      </c>
      <c r="J34" s="362">
        <v>8300</v>
      </c>
      <c r="K34" s="361">
        <f t="shared" si="12"/>
        <v>10083.412507266665</v>
      </c>
      <c r="L34" s="390">
        <v>8166.3209278314671</v>
      </c>
      <c r="M34" s="390">
        <f t="shared" si="71"/>
        <v>1917.0915794351977</v>
      </c>
      <c r="N34" s="372">
        <f t="shared" si="13"/>
        <v>97.27250939999999</v>
      </c>
      <c r="O34" s="373">
        <f t="shared" si="44"/>
        <v>14379.258999999998</v>
      </c>
      <c r="P34" s="374">
        <f t="shared" si="45"/>
        <v>2375.8517999999995</v>
      </c>
      <c r="Q34" s="373">
        <f t="shared" si="46"/>
        <v>11906.1346906</v>
      </c>
      <c r="R34" s="373">
        <f t="shared" si="47"/>
        <v>28758.517999999996</v>
      </c>
      <c r="S34" s="376">
        <f t="shared" si="72"/>
        <v>3138.9480599999997</v>
      </c>
      <c r="T34" s="373">
        <f t="shared" si="48"/>
        <v>11143.038430599998</v>
      </c>
      <c r="U34" s="373">
        <f t="shared" si="49"/>
        <v>43137.776999999995</v>
      </c>
      <c r="V34" s="376">
        <f t="shared" si="50"/>
        <v>3882.3999299999996</v>
      </c>
      <c r="W34" s="373">
        <f t="shared" si="51"/>
        <v>10399.586560599999</v>
      </c>
      <c r="X34" s="373">
        <f t="shared" si="52"/>
        <v>57517.035999999993</v>
      </c>
      <c r="Y34" s="376">
        <f t="shared" si="53"/>
        <v>3882.3999299999996</v>
      </c>
      <c r="Z34" s="373">
        <f t="shared" si="54"/>
        <v>10399.586560599999</v>
      </c>
      <c r="AA34" s="373">
        <f t="shared" si="55"/>
        <v>71896.294999999984</v>
      </c>
      <c r="AB34" s="376">
        <f t="shared" si="82"/>
        <v>3882.3999299999996</v>
      </c>
      <c r="AC34" s="373">
        <f t="shared" si="74"/>
        <v>10399.586560599999</v>
      </c>
      <c r="AD34" s="373">
        <f t="shared" si="56"/>
        <v>86275.553999999989</v>
      </c>
      <c r="AE34" s="376">
        <f t="shared" si="83"/>
        <v>3882.3999299999996</v>
      </c>
      <c r="AF34" s="373">
        <f t="shared" si="76"/>
        <v>10399.586560599999</v>
      </c>
      <c r="AG34" s="373">
        <f t="shared" si="57"/>
        <v>100654.81299999999</v>
      </c>
      <c r="AH34" s="377">
        <f t="shared" si="84"/>
        <v>4894.7849700000006</v>
      </c>
      <c r="AI34" s="373">
        <f t="shared" si="58"/>
        <v>9387.2015205999978</v>
      </c>
      <c r="AJ34" s="373">
        <f t="shared" si="59"/>
        <v>115034.07199999999</v>
      </c>
      <c r="AK34" s="377">
        <f>H34*0.35</f>
        <v>5032.7406499999988</v>
      </c>
      <c r="AL34" s="373">
        <f t="shared" si="60"/>
        <v>9249.2458406000005</v>
      </c>
      <c r="AM34" s="373">
        <f t="shared" si="61"/>
        <v>129413.33099999998</v>
      </c>
      <c r="AN34" s="377">
        <f t="shared" si="79"/>
        <v>5032.7406499999988</v>
      </c>
      <c r="AO34" s="373">
        <f t="shared" si="62"/>
        <v>9249.2458406000005</v>
      </c>
      <c r="AP34" s="373">
        <f t="shared" si="63"/>
        <v>143792.58999999997</v>
      </c>
      <c r="AQ34" s="377">
        <f t="shared" si="80"/>
        <v>5032.7406499999988</v>
      </c>
      <c r="AR34" s="373">
        <f t="shared" si="81"/>
        <v>9249.2458406000005</v>
      </c>
      <c r="AS34" s="373">
        <f t="shared" si="64"/>
        <v>158171.84899999999</v>
      </c>
      <c r="AT34" s="377">
        <f t="shared" si="65"/>
        <v>5032.7406499999988</v>
      </c>
      <c r="AU34" s="373">
        <f t="shared" si="66"/>
        <v>9249.2458406000005</v>
      </c>
      <c r="AV34" s="373">
        <f t="shared" si="67"/>
        <v>172551.10799999998</v>
      </c>
      <c r="AW34" s="377">
        <f t="shared" si="68"/>
        <v>5032.7406499999988</v>
      </c>
      <c r="AX34" s="373">
        <f t="shared" si="69"/>
        <v>9249.2458406000005</v>
      </c>
      <c r="AY34" s="292"/>
      <c r="BA34" s="358"/>
    </row>
    <row r="35" spans="1:53" ht="28.5" x14ac:dyDescent="0.45">
      <c r="A35" s="716"/>
      <c r="B35" s="461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43"/>
        <v>14988.059999999998</v>
      </c>
      <c r="G35" s="233">
        <v>359</v>
      </c>
      <c r="H35" s="353">
        <f t="shared" si="70"/>
        <v>11131.846</v>
      </c>
      <c r="I35" s="363">
        <v>0.65</v>
      </c>
      <c r="J35" s="362">
        <v>7300</v>
      </c>
      <c r="K35" s="361">
        <f t="shared" si="12"/>
        <v>7989.3109580666642</v>
      </c>
      <c r="L35" s="390">
        <v>7138.9861377786683</v>
      </c>
      <c r="M35" s="390">
        <f t="shared" si="71"/>
        <v>850.32482028799586</v>
      </c>
      <c r="N35" s="372">
        <f t="shared" si="13"/>
        <v>75.839583599999997</v>
      </c>
      <c r="O35" s="373">
        <f t="shared" si="44"/>
        <v>11131.846</v>
      </c>
      <c r="P35" s="374">
        <f t="shared" si="45"/>
        <v>1726.3691999999999</v>
      </c>
      <c r="Q35" s="373">
        <f t="shared" si="46"/>
        <v>9329.6372164000004</v>
      </c>
      <c r="R35" s="373">
        <f t="shared" si="47"/>
        <v>22263.691999999999</v>
      </c>
      <c r="S35" s="374">
        <f t="shared" ref="S35:S38" si="85">(R35-10000)*0.2+(10000-O35)*0.15</f>
        <v>2282.9614999999999</v>
      </c>
      <c r="T35" s="373">
        <f t="shared" si="48"/>
        <v>8773.0449164000001</v>
      </c>
      <c r="U35" s="373">
        <f t="shared" si="49"/>
        <v>33395.538</v>
      </c>
      <c r="V35" s="376">
        <f>(U35-25000)*0.27+(25000-R35)*0.2</f>
        <v>2814.0568600000006</v>
      </c>
      <c r="W35" s="373">
        <f t="shared" si="51"/>
        <v>8241.949556399999</v>
      </c>
      <c r="X35" s="373">
        <f t="shared" si="52"/>
        <v>44527.383999999998</v>
      </c>
      <c r="Y35" s="376">
        <f t="shared" si="53"/>
        <v>3005.5984200000003</v>
      </c>
      <c r="Z35" s="373">
        <f t="shared" si="54"/>
        <v>8050.4079963999993</v>
      </c>
      <c r="AA35" s="373">
        <f t="shared" si="55"/>
        <v>55659.229999999996</v>
      </c>
      <c r="AB35" s="376">
        <f t="shared" si="82"/>
        <v>3005.5984200000003</v>
      </c>
      <c r="AC35" s="373">
        <f t="shared" si="74"/>
        <v>8050.4079963999993</v>
      </c>
      <c r="AD35" s="373">
        <f t="shared" si="56"/>
        <v>66791.076000000001</v>
      </c>
      <c r="AE35" s="376">
        <f t="shared" si="83"/>
        <v>3005.5984200000003</v>
      </c>
      <c r="AF35" s="373">
        <f t="shared" si="76"/>
        <v>8050.4079963999993</v>
      </c>
      <c r="AG35" s="373">
        <f t="shared" si="57"/>
        <v>77922.921999999991</v>
      </c>
      <c r="AH35" s="376">
        <f>H35*0.27</f>
        <v>3005.5984200000003</v>
      </c>
      <c r="AI35" s="373">
        <f t="shared" si="58"/>
        <v>8050.4079963999993</v>
      </c>
      <c r="AJ35" s="373">
        <f t="shared" si="59"/>
        <v>89054.767999999996</v>
      </c>
      <c r="AK35" s="376">
        <f>(AJ35-88000)*0.35+(88000-AG35)*0.27</f>
        <v>3089.9798600000013</v>
      </c>
      <c r="AL35" s="373">
        <f t="shared" si="60"/>
        <v>7966.0265563999983</v>
      </c>
      <c r="AM35" s="373">
        <f t="shared" si="61"/>
        <v>100186.614</v>
      </c>
      <c r="AN35" s="377">
        <f t="shared" si="79"/>
        <v>3896.1460999999995</v>
      </c>
      <c r="AO35" s="373">
        <f t="shared" si="62"/>
        <v>7159.8603163999996</v>
      </c>
      <c r="AP35" s="373">
        <f t="shared" si="63"/>
        <v>111318.45999999999</v>
      </c>
      <c r="AQ35" s="377">
        <f t="shared" si="80"/>
        <v>3896.1460999999995</v>
      </c>
      <c r="AR35" s="373">
        <f t="shared" si="81"/>
        <v>7159.8603163999996</v>
      </c>
      <c r="AS35" s="373">
        <f t="shared" si="64"/>
        <v>122450.306</v>
      </c>
      <c r="AT35" s="377">
        <f t="shared" si="65"/>
        <v>3896.1460999999995</v>
      </c>
      <c r="AU35" s="373">
        <f t="shared" si="66"/>
        <v>7159.8603163999996</v>
      </c>
      <c r="AV35" s="373">
        <f t="shared" si="67"/>
        <v>133582.152</v>
      </c>
      <c r="AW35" s="377">
        <f t="shared" si="68"/>
        <v>3896.1460999999995</v>
      </c>
      <c r="AX35" s="373">
        <f t="shared" si="69"/>
        <v>7159.8603163999996</v>
      </c>
      <c r="AY35" s="292"/>
      <c r="BA35" s="358"/>
    </row>
    <row r="36" spans="1:53" ht="28.5" x14ac:dyDescent="0.45">
      <c r="A36" s="716"/>
      <c r="B36" s="461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43"/>
        <v>14988.059999999998</v>
      </c>
      <c r="G36" s="233">
        <v>359</v>
      </c>
      <c r="H36" s="353">
        <f t="shared" si="70"/>
        <v>11131.846</v>
      </c>
      <c r="I36" s="363">
        <v>0.65</v>
      </c>
      <c r="J36" s="362">
        <v>7100</v>
      </c>
      <c r="K36" s="361">
        <f t="shared" si="12"/>
        <v>7989.3109580666642</v>
      </c>
      <c r="L36" s="390">
        <v>7138.9861377786683</v>
      </c>
      <c r="M36" s="390">
        <f t="shared" si="71"/>
        <v>850.32482028799586</v>
      </c>
      <c r="N36" s="372">
        <f t="shared" si="13"/>
        <v>75.839583599999997</v>
      </c>
      <c r="O36" s="373">
        <f t="shared" si="44"/>
        <v>11131.846</v>
      </c>
      <c r="P36" s="374">
        <f t="shared" si="45"/>
        <v>1726.3691999999999</v>
      </c>
      <c r="Q36" s="373">
        <f t="shared" si="46"/>
        <v>9329.6372164000004</v>
      </c>
      <c r="R36" s="373">
        <f t="shared" si="47"/>
        <v>22263.691999999999</v>
      </c>
      <c r="S36" s="374">
        <f t="shared" si="85"/>
        <v>2282.9614999999999</v>
      </c>
      <c r="T36" s="373">
        <f t="shared" si="48"/>
        <v>8773.0449164000001</v>
      </c>
      <c r="U36" s="373">
        <f t="shared" si="49"/>
        <v>33395.538</v>
      </c>
      <c r="V36" s="376">
        <f>(U36-25000)*0.27+(25000-R36)*0.2</f>
        <v>2814.0568600000006</v>
      </c>
      <c r="W36" s="373">
        <f t="shared" si="51"/>
        <v>8241.949556399999</v>
      </c>
      <c r="X36" s="373">
        <f t="shared" si="52"/>
        <v>44527.383999999998</v>
      </c>
      <c r="Y36" s="376">
        <f t="shared" si="53"/>
        <v>3005.5984200000003</v>
      </c>
      <c r="Z36" s="373">
        <f t="shared" si="54"/>
        <v>8050.4079963999993</v>
      </c>
      <c r="AA36" s="373">
        <f t="shared" si="55"/>
        <v>55659.229999999996</v>
      </c>
      <c r="AB36" s="376">
        <f t="shared" si="82"/>
        <v>3005.5984200000003</v>
      </c>
      <c r="AC36" s="373">
        <f t="shared" si="74"/>
        <v>8050.4079963999993</v>
      </c>
      <c r="AD36" s="373">
        <f t="shared" si="56"/>
        <v>66791.076000000001</v>
      </c>
      <c r="AE36" s="376">
        <f t="shared" si="83"/>
        <v>3005.5984200000003</v>
      </c>
      <c r="AF36" s="373">
        <f t="shared" si="76"/>
        <v>8050.4079963999993</v>
      </c>
      <c r="AG36" s="373">
        <f t="shared" si="57"/>
        <v>77922.921999999991</v>
      </c>
      <c r="AH36" s="376">
        <f>H36*0.27</f>
        <v>3005.5984200000003</v>
      </c>
      <c r="AI36" s="373">
        <f t="shared" si="58"/>
        <v>8050.4079963999993</v>
      </c>
      <c r="AJ36" s="373">
        <f t="shared" si="59"/>
        <v>89054.767999999996</v>
      </c>
      <c r="AK36" s="376">
        <f t="shared" ref="AK36:AK38" si="86">(AJ36-88000)*0.35+(88000-AG36)*0.27</f>
        <v>3089.9798600000013</v>
      </c>
      <c r="AL36" s="373">
        <f t="shared" si="60"/>
        <v>7966.0265563999983</v>
      </c>
      <c r="AM36" s="373">
        <f t="shared" si="61"/>
        <v>100186.614</v>
      </c>
      <c r="AN36" s="377">
        <f t="shared" si="79"/>
        <v>3896.1460999999995</v>
      </c>
      <c r="AO36" s="373">
        <f t="shared" si="62"/>
        <v>7159.8603163999996</v>
      </c>
      <c r="AP36" s="373">
        <f t="shared" si="63"/>
        <v>111318.45999999999</v>
      </c>
      <c r="AQ36" s="377">
        <f t="shared" si="80"/>
        <v>3896.1460999999995</v>
      </c>
      <c r="AR36" s="373">
        <f t="shared" si="81"/>
        <v>7159.8603163999996</v>
      </c>
      <c r="AS36" s="373">
        <f t="shared" si="64"/>
        <v>122450.306</v>
      </c>
      <c r="AT36" s="377">
        <f t="shared" si="65"/>
        <v>3896.1460999999995</v>
      </c>
      <c r="AU36" s="373">
        <f t="shared" si="66"/>
        <v>7159.8603163999996</v>
      </c>
      <c r="AV36" s="373">
        <f t="shared" si="67"/>
        <v>133582.152</v>
      </c>
      <c r="AW36" s="377">
        <f t="shared" si="68"/>
        <v>3896.1460999999995</v>
      </c>
      <c r="AX36" s="373">
        <f t="shared" si="69"/>
        <v>7159.8603163999996</v>
      </c>
      <c r="AY36" s="292"/>
      <c r="BA36" s="358"/>
    </row>
    <row r="37" spans="1:53" ht="28.5" x14ac:dyDescent="0.45">
      <c r="A37" s="716"/>
      <c r="B37" s="461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43"/>
        <v>14988.059999999998</v>
      </c>
      <c r="G37" s="233">
        <v>359</v>
      </c>
      <c r="H37" s="353">
        <f t="shared" si="70"/>
        <v>11131.846</v>
      </c>
      <c r="I37" s="363">
        <v>0.65</v>
      </c>
      <c r="J37" s="362">
        <v>6900</v>
      </c>
      <c r="K37" s="361">
        <f t="shared" si="12"/>
        <v>7989.3109580666642</v>
      </c>
      <c r="L37" s="390">
        <v>6836.8288465866681</v>
      </c>
      <c r="M37" s="390">
        <f t="shared" si="71"/>
        <v>1152.4821114799961</v>
      </c>
      <c r="N37" s="372">
        <f t="shared" si="13"/>
        <v>75.839583599999997</v>
      </c>
      <c r="O37" s="373">
        <f t="shared" si="44"/>
        <v>11131.846</v>
      </c>
      <c r="P37" s="374">
        <f t="shared" si="45"/>
        <v>1726.3691999999999</v>
      </c>
      <c r="Q37" s="373">
        <f t="shared" si="46"/>
        <v>9329.6372164000004</v>
      </c>
      <c r="R37" s="373">
        <f t="shared" si="47"/>
        <v>22263.691999999999</v>
      </c>
      <c r="S37" s="374">
        <f t="shared" si="85"/>
        <v>2282.9614999999999</v>
      </c>
      <c r="T37" s="373">
        <f t="shared" si="48"/>
        <v>8773.0449164000001</v>
      </c>
      <c r="U37" s="373">
        <f t="shared" si="49"/>
        <v>33395.538</v>
      </c>
      <c r="V37" s="376">
        <f>(U37-25000)*0.27+(25000-R37)*0.2</f>
        <v>2814.0568600000006</v>
      </c>
      <c r="W37" s="373">
        <f t="shared" si="51"/>
        <v>8241.949556399999</v>
      </c>
      <c r="X37" s="373">
        <f t="shared" si="52"/>
        <v>44527.383999999998</v>
      </c>
      <c r="Y37" s="376">
        <f t="shared" si="53"/>
        <v>3005.5984200000003</v>
      </c>
      <c r="Z37" s="373">
        <f t="shared" si="54"/>
        <v>8050.4079963999993</v>
      </c>
      <c r="AA37" s="373">
        <f t="shared" si="55"/>
        <v>55659.229999999996</v>
      </c>
      <c r="AB37" s="376">
        <f t="shared" si="82"/>
        <v>3005.5984200000003</v>
      </c>
      <c r="AC37" s="373">
        <f t="shared" si="74"/>
        <v>8050.4079963999993</v>
      </c>
      <c r="AD37" s="373">
        <f t="shared" si="56"/>
        <v>66791.076000000001</v>
      </c>
      <c r="AE37" s="376">
        <f t="shared" si="83"/>
        <v>3005.5984200000003</v>
      </c>
      <c r="AF37" s="373">
        <f t="shared" si="76"/>
        <v>8050.4079963999993</v>
      </c>
      <c r="AG37" s="373">
        <f t="shared" si="57"/>
        <v>77922.921999999991</v>
      </c>
      <c r="AH37" s="376">
        <f>H37*0.27</f>
        <v>3005.5984200000003</v>
      </c>
      <c r="AI37" s="373">
        <f t="shared" si="58"/>
        <v>8050.4079963999993</v>
      </c>
      <c r="AJ37" s="373">
        <f t="shared" si="59"/>
        <v>89054.767999999996</v>
      </c>
      <c r="AK37" s="376">
        <f t="shared" si="86"/>
        <v>3089.9798600000013</v>
      </c>
      <c r="AL37" s="373">
        <f t="shared" si="60"/>
        <v>7966.0265563999983</v>
      </c>
      <c r="AM37" s="373">
        <f t="shared" si="61"/>
        <v>100186.614</v>
      </c>
      <c r="AN37" s="377">
        <f t="shared" si="79"/>
        <v>3896.1460999999995</v>
      </c>
      <c r="AO37" s="373">
        <f t="shared" si="62"/>
        <v>7159.8603163999996</v>
      </c>
      <c r="AP37" s="373">
        <f t="shared" si="63"/>
        <v>111318.45999999999</v>
      </c>
      <c r="AQ37" s="377">
        <f t="shared" si="80"/>
        <v>3896.1460999999995</v>
      </c>
      <c r="AR37" s="373">
        <f t="shared" si="81"/>
        <v>7159.8603163999996</v>
      </c>
      <c r="AS37" s="373">
        <f t="shared" si="64"/>
        <v>122450.306</v>
      </c>
      <c r="AT37" s="377">
        <f t="shared" si="65"/>
        <v>3896.1460999999995</v>
      </c>
      <c r="AU37" s="373">
        <f t="shared" si="66"/>
        <v>7159.8603163999996</v>
      </c>
      <c r="AV37" s="373">
        <f t="shared" si="67"/>
        <v>133582.152</v>
      </c>
      <c r="AW37" s="377">
        <f t="shared" si="68"/>
        <v>3896.1460999999995</v>
      </c>
      <c r="AX37" s="373">
        <f t="shared" si="69"/>
        <v>7159.8603163999996</v>
      </c>
      <c r="AY37" s="292"/>
      <c r="BA37" s="358"/>
    </row>
    <row r="38" spans="1:53" ht="28.5" x14ac:dyDescent="0.45">
      <c r="A38" s="716"/>
      <c r="B38" s="392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43"/>
        <v>14988.059999999998</v>
      </c>
      <c r="G38" s="233">
        <v>359</v>
      </c>
      <c r="H38" s="353">
        <f t="shared" si="70"/>
        <v>11131.846</v>
      </c>
      <c r="I38" s="363">
        <v>0.65</v>
      </c>
      <c r="J38" s="362">
        <v>4900</v>
      </c>
      <c r="K38" s="361">
        <f t="shared" si="12"/>
        <v>7989.3109580666642</v>
      </c>
      <c r="L38" s="390">
        <v>4890.514842049598</v>
      </c>
      <c r="M38" s="390">
        <f t="shared" si="71"/>
        <v>3098.7961160170662</v>
      </c>
      <c r="N38" s="372">
        <f t="shared" si="13"/>
        <v>75.839583599999997</v>
      </c>
      <c r="O38" s="373">
        <f t="shared" si="44"/>
        <v>11131.846</v>
      </c>
      <c r="P38" s="374">
        <f t="shared" si="45"/>
        <v>1726.3691999999999</v>
      </c>
      <c r="Q38" s="373">
        <f t="shared" si="46"/>
        <v>9329.6372164000004</v>
      </c>
      <c r="R38" s="373">
        <f t="shared" si="47"/>
        <v>22263.691999999999</v>
      </c>
      <c r="S38" s="374">
        <f t="shared" si="85"/>
        <v>2282.9614999999999</v>
      </c>
      <c r="T38" s="373">
        <f t="shared" si="48"/>
        <v>8773.0449164000001</v>
      </c>
      <c r="U38" s="373">
        <f t="shared" si="49"/>
        <v>33395.538</v>
      </c>
      <c r="V38" s="376">
        <f>(U38-25000)*0.27+(25000-R38)*0.2</f>
        <v>2814.0568600000006</v>
      </c>
      <c r="W38" s="373">
        <f t="shared" si="51"/>
        <v>8241.949556399999</v>
      </c>
      <c r="X38" s="373">
        <f t="shared" si="52"/>
        <v>44527.383999999998</v>
      </c>
      <c r="Y38" s="376">
        <f t="shared" si="53"/>
        <v>3005.5984200000003</v>
      </c>
      <c r="Z38" s="373">
        <f t="shared" si="54"/>
        <v>8050.4079963999993</v>
      </c>
      <c r="AA38" s="373">
        <f t="shared" si="55"/>
        <v>55659.229999999996</v>
      </c>
      <c r="AB38" s="376">
        <f t="shared" si="82"/>
        <v>3005.5984200000003</v>
      </c>
      <c r="AC38" s="373">
        <f t="shared" si="74"/>
        <v>8050.4079963999993</v>
      </c>
      <c r="AD38" s="373">
        <f t="shared" si="56"/>
        <v>66791.076000000001</v>
      </c>
      <c r="AE38" s="376">
        <f t="shared" si="83"/>
        <v>3005.5984200000003</v>
      </c>
      <c r="AF38" s="373">
        <f t="shared" si="76"/>
        <v>8050.4079963999993</v>
      </c>
      <c r="AG38" s="373">
        <f t="shared" si="57"/>
        <v>77922.921999999991</v>
      </c>
      <c r="AH38" s="376">
        <f>H38*0.27</f>
        <v>3005.5984200000003</v>
      </c>
      <c r="AI38" s="373">
        <f t="shared" si="58"/>
        <v>8050.4079963999993</v>
      </c>
      <c r="AJ38" s="373">
        <f t="shared" si="59"/>
        <v>89054.767999999996</v>
      </c>
      <c r="AK38" s="376">
        <f t="shared" si="86"/>
        <v>3089.9798600000013</v>
      </c>
      <c r="AL38" s="373">
        <f t="shared" si="60"/>
        <v>7966.0265563999983</v>
      </c>
      <c r="AM38" s="373">
        <f t="shared" si="61"/>
        <v>100186.614</v>
      </c>
      <c r="AN38" s="377">
        <f t="shared" si="79"/>
        <v>3896.1460999999995</v>
      </c>
      <c r="AO38" s="373">
        <f t="shared" si="62"/>
        <v>7159.8603163999996</v>
      </c>
      <c r="AP38" s="373">
        <f t="shared" si="63"/>
        <v>111318.45999999999</v>
      </c>
      <c r="AQ38" s="377">
        <f t="shared" si="80"/>
        <v>3896.1460999999995</v>
      </c>
      <c r="AR38" s="373">
        <f t="shared" si="81"/>
        <v>7159.8603163999996</v>
      </c>
      <c r="AS38" s="373">
        <f t="shared" si="64"/>
        <v>122450.306</v>
      </c>
      <c r="AT38" s="377">
        <f t="shared" si="65"/>
        <v>3896.1460999999995</v>
      </c>
      <c r="AU38" s="373">
        <f t="shared" si="66"/>
        <v>7159.8603163999996</v>
      </c>
      <c r="AV38" s="373">
        <f t="shared" si="67"/>
        <v>133582.152</v>
      </c>
      <c r="AW38" s="377">
        <f t="shared" si="68"/>
        <v>3896.1460999999995</v>
      </c>
      <c r="AX38" s="373">
        <f t="shared" si="69"/>
        <v>7159.8603163999996</v>
      </c>
      <c r="AY38" s="292"/>
      <c r="BA38" s="358"/>
    </row>
    <row r="39" spans="1:53" ht="28.5" x14ac:dyDescent="0.45">
      <c r="A39" s="716" t="s">
        <v>29</v>
      </c>
      <c r="B39" s="461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43"/>
        <v>24980.1</v>
      </c>
      <c r="G39" s="233">
        <v>359</v>
      </c>
      <c r="H39" s="353">
        <f t="shared" si="70"/>
        <v>17626.671999999999</v>
      </c>
      <c r="I39" s="363">
        <v>0.65</v>
      </c>
      <c r="J39" s="362">
        <v>11600</v>
      </c>
      <c r="K39" s="361">
        <f t="shared" si="12"/>
        <v>12172.798031466664</v>
      </c>
      <c r="L39" s="390">
        <v>11308.756756228262</v>
      </c>
      <c r="M39" s="390">
        <f t="shared" si="71"/>
        <v>864.04127523840179</v>
      </c>
      <c r="N39" s="372">
        <f t="shared" si="13"/>
        <v>118.7054352</v>
      </c>
      <c r="O39" s="373">
        <f t="shared" si="44"/>
        <v>17626.671999999999</v>
      </c>
      <c r="P39" s="374">
        <f t="shared" si="45"/>
        <v>3025.3343999999997</v>
      </c>
      <c r="Q39" s="373">
        <f t="shared" si="46"/>
        <v>14482.632164799998</v>
      </c>
      <c r="R39" s="373">
        <f t="shared" si="47"/>
        <v>35253.343999999997</v>
      </c>
      <c r="S39" s="376">
        <f>(R39-25000)*0.27+(25000-O39)*0.2</f>
        <v>4243.0684799999999</v>
      </c>
      <c r="T39" s="373">
        <f t="shared" si="48"/>
        <v>13264.898084799997</v>
      </c>
      <c r="U39" s="373">
        <f t="shared" si="49"/>
        <v>52880.015999999996</v>
      </c>
      <c r="V39" s="376">
        <f t="shared" ref="V39:V44" si="87">O39*0.27</f>
        <v>4759.2014399999998</v>
      </c>
      <c r="W39" s="373">
        <f t="shared" si="51"/>
        <v>12748.765124799997</v>
      </c>
      <c r="X39" s="373">
        <f t="shared" si="52"/>
        <v>70506.687999999995</v>
      </c>
      <c r="Y39" s="376">
        <f t="shared" si="53"/>
        <v>4759.2014399999998</v>
      </c>
      <c r="Z39" s="373">
        <f t="shared" si="54"/>
        <v>12748.765124799997</v>
      </c>
      <c r="AA39" s="373">
        <f t="shared" si="55"/>
        <v>88133.359999999986</v>
      </c>
      <c r="AB39" s="377">
        <f t="shared" ref="AB39:AB40" si="88">(AA39-88000)*0.35+(88000-X39)*0.27</f>
        <v>4769.8702399999966</v>
      </c>
      <c r="AC39" s="373">
        <f t="shared" si="74"/>
        <v>12738.096324800001</v>
      </c>
      <c r="AD39" s="373">
        <f t="shared" si="56"/>
        <v>105760.03199999999</v>
      </c>
      <c r="AE39" s="377">
        <f t="shared" ref="AE39:AE40" si="89">H39*0.35</f>
        <v>6169.3351999999995</v>
      </c>
      <c r="AF39" s="373">
        <f t="shared" si="76"/>
        <v>11338.631364799998</v>
      </c>
      <c r="AG39" s="373">
        <f t="shared" si="57"/>
        <v>123386.704</v>
      </c>
      <c r="AH39" s="377">
        <f>H39*0.35</f>
        <v>6169.3351999999995</v>
      </c>
      <c r="AI39" s="373">
        <f t="shared" si="58"/>
        <v>11338.631364799998</v>
      </c>
      <c r="AJ39" s="373">
        <f t="shared" si="59"/>
        <v>141013.37599999999</v>
      </c>
      <c r="AK39" s="377">
        <f>H39*0.35</f>
        <v>6169.3351999999995</v>
      </c>
      <c r="AL39" s="373">
        <f t="shared" si="60"/>
        <v>11338.631364799998</v>
      </c>
      <c r="AM39" s="373">
        <f t="shared" si="61"/>
        <v>158640.04799999998</v>
      </c>
      <c r="AN39" s="377">
        <f>H39*0.35</f>
        <v>6169.3351999999995</v>
      </c>
      <c r="AO39" s="373">
        <f t="shared" si="62"/>
        <v>11338.631364799998</v>
      </c>
      <c r="AP39" s="373">
        <f t="shared" si="63"/>
        <v>176266.71999999997</v>
      </c>
      <c r="AQ39" s="377">
        <f t="shared" si="80"/>
        <v>6169.3351999999995</v>
      </c>
      <c r="AR39" s="373">
        <f t="shared" si="81"/>
        <v>11338.631364799998</v>
      </c>
      <c r="AS39" s="373">
        <f t="shared" si="64"/>
        <v>193893.39199999999</v>
      </c>
      <c r="AT39" s="377">
        <f t="shared" ref="AT39:AT44" si="90">H39*0.35</f>
        <v>6169.3351999999995</v>
      </c>
      <c r="AU39" s="373">
        <f t="shared" si="66"/>
        <v>11338.631364799998</v>
      </c>
      <c r="AV39" s="373">
        <f t="shared" si="67"/>
        <v>211520.06399999998</v>
      </c>
      <c r="AW39" s="377">
        <f t="shared" si="68"/>
        <v>6169.3351999999995</v>
      </c>
      <c r="AX39" s="373">
        <f t="shared" si="69"/>
        <v>11338.631364799998</v>
      </c>
      <c r="AY39" s="292"/>
      <c r="BA39" s="358"/>
    </row>
    <row r="40" spans="1:53" ht="28.5" x14ac:dyDescent="0.45">
      <c r="A40" s="716"/>
      <c r="B40" s="461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43"/>
        <v>24980.1</v>
      </c>
      <c r="G40" s="233">
        <v>359</v>
      </c>
      <c r="H40" s="353">
        <f t="shared" si="70"/>
        <v>17626.671999999999</v>
      </c>
      <c r="I40" s="363">
        <v>0.65</v>
      </c>
      <c r="J40" s="362">
        <v>7900</v>
      </c>
      <c r="K40" s="361">
        <f t="shared" si="12"/>
        <v>12172.798031466664</v>
      </c>
      <c r="L40" s="390">
        <v>7803.7321784010674</v>
      </c>
      <c r="M40" s="390">
        <f t="shared" si="71"/>
        <v>4369.0658530655965</v>
      </c>
      <c r="N40" s="372">
        <f t="shared" si="13"/>
        <v>118.7054352</v>
      </c>
      <c r="O40" s="373">
        <f t="shared" si="44"/>
        <v>17626.671999999999</v>
      </c>
      <c r="P40" s="374">
        <f t="shared" si="45"/>
        <v>3025.3343999999997</v>
      </c>
      <c r="Q40" s="373">
        <f t="shared" si="46"/>
        <v>14482.632164799998</v>
      </c>
      <c r="R40" s="373">
        <f t="shared" si="47"/>
        <v>35253.343999999997</v>
      </c>
      <c r="S40" s="376">
        <f t="shared" ref="S40:S44" si="91">(R40-25000)*0.27+(25000-O40)*0.2</f>
        <v>4243.0684799999999</v>
      </c>
      <c r="T40" s="373">
        <f t="shared" si="48"/>
        <v>13264.898084799997</v>
      </c>
      <c r="U40" s="373">
        <f t="shared" si="49"/>
        <v>52880.015999999996</v>
      </c>
      <c r="V40" s="376">
        <f t="shared" si="87"/>
        <v>4759.2014399999998</v>
      </c>
      <c r="W40" s="373">
        <f t="shared" si="51"/>
        <v>12748.765124799997</v>
      </c>
      <c r="X40" s="373">
        <f t="shared" si="52"/>
        <v>70506.687999999995</v>
      </c>
      <c r="Y40" s="376">
        <f t="shared" si="53"/>
        <v>4759.2014399999998</v>
      </c>
      <c r="Z40" s="373">
        <f t="shared" si="54"/>
        <v>12748.765124799997</v>
      </c>
      <c r="AA40" s="373">
        <f t="shared" si="55"/>
        <v>88133.359999999986</v>
      </c>
      <c r="AB40" s="377">
        <f t="shared" si="88"/>
        <v>4769.8702399999966</v>
      </c>
      <c r="AC40" s="373">
        <f t="shared" si="74"/>
        <v>12738.096324800001</v>
      </c>
      <c r="AD40" s="373">
        <f t="shared" si="56"/>
        <v>105760.03199999999</v>
      </c>
      <c r="AE40" s="377">
        <f t="shared" si="89"/>
        <v>6169.3351999999995</v>
      </c>
      <c r="AF40" s="373">
        <f t="shared" si="76"/>
        <v>11338.631364799998</v>
      </c>
      <c r="AG40" s="373">
        <f t="shared" si="57"/>
        <v>123386.704</v>
      </c>
      <c r="AH40" s="377">
        <f>H40*0.35</f>
        <v>6169.3351999999995</v>
      </c>
      <c r="AI40" s="373">
        <f t="shared" si="58"/>
        <v>11338.631364799998</v>
      </c>
      <c r="AJ40" s="373">
        <f t="shared" si="59"/>
        <v>141013.37599999999</v>
      </c>
      <c r="AK40" s="377">
        <f>H40*0.35</f>
        <v>6169.3351999999995</v>
      </c>
      <c r="AL40" s="373">
        <f t="shared" si="60"/>
        <v>11338.631364799998</v>
      </c>
      <c r="AM40" s="373">
        <f t="shared" si="61"/>
        <v>158640.04799999998</v>
      </c>
      <c r="AN40" s="377">
        <f t="shared" ref="AN40:AN44" si="92">H40*0.35</f>
        <v>6169.3351999999995</v>
      </c>
      <c r="AO40" s="373">
        <f t="shared" si="62"/>
        <v>11338.631364799998</v>
      </c>
      <c r="AP40" s="373">
        <f t="shared" si="63"/>
        <v>176266.71999999997</v>
      </c>
      <c r="AQ40" s="377">
        <f t="shared" si="80"/>
        <v>6169.3351999999995</v>
      </c>
      <c r="AR40" s="373">
        <f t="shared" si="81"/>
        <v>11338.631364799998</v>
      </c>
      <c r="AS40" s="373">
        <f t="shared" si="64"/>
        <v>193893.39199999999</v>
      </c>
      <c r="AT40" s="377">
        <f t="shared" si="90"/>
        <v>6169.3351999999995</v>
      </c>
      <c r="AU40" s="373">
        <f t="shared" si="66"/>
        <v>11338.631364799998</v>
      </c>
      <c r="AV40" s="373">
        <f t="shared" si="67"/>
        <v>211520.06399999998</v>
      </c>
      <c r="AW40" s="377">
        <f t="shared" si="68"/>
        <v>6169.3351999999995</v>
      </c>
      <c r="AX40" s="373">
        <f t="shared" si="69"/>
        <v>11338.631364799998</v>
      </c>
      <c r="AY40" s="292"/>
      <c r="BA40" s="358"/>
    </row>
    <row r="41" spans="1:53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43"/>
        <v>19984.079999999998</v>
      </c>
      <c r="G41" s="233">
        <v>359</v>
      </c>
      <c r="H41" s="353">
        <f t="shared" si="70"/>
        <v>14379.258999999998</v>
      </c>
      <c r="I41" s="363">
        <v>0.65</v>
      </c>
      <c r="J41" s="362">
        <v>9000</v>
      </c>
      <c r="K41" s="361">
        <f t="shared" si="12"/>
        <v>10083.412507266665</v>
      </c>
      <c r="L41" s="390">
        <v>8800.8512393346664</v>
      </c>
      <c r="M41" s="390">
        <f t="shared" si="71"/>
        <v>1282.5612679319984</v>
      </c>
      <c r="N41" s="372">
        <f t="shared" si="13"/>
        <v>97.27250939999999</v>
      </c>
      <c r="O41" s="373">
        <f t="shared" si="44"/>
        <v>14379.258999999998</v>
      </c>
      <c r="P41" s="374">
        <f t="shared" si="45"/>
        <v>2375.8517999999995</v>
      </c>
      <c r="Q41" s="373">
        <f t="shared" si="46"/>
        <v>11906.1346906</v>
      </c>
      <c r="R41" s="373">
        <f t="shared" si="47"/>
        <v>28758.517999999996</v>
      </c>
      <c r="S41" s="376">
        <f t="shared" si="91"/>
        <v>3138.9480599999997</v>
      </c>
      <c r="T41" s="373">
        <f t="shared" si="48"/>
        <v>11143.038430599998</v>
      </c>
      <c r="U41" s="373">
        <f t="shared" si="49"/>
        <v>43137.776999999995</v>
      </c>
      <c r="V41" s="376">
        <f t="shared" si="87"/>
        <v>3882.3999299999996</v>
      </c>
      <c r="W41" s="373">
        <f t="shared" si="51"/>
        <v>10399.586560599999</v>
      </c>
      <c r="X41" s="373">
        <f t="shared" si="52"/>
        <v>57517.035999999993</v>
      </c>
      <c r="Y41" s="376">
        <f t="shared" si="53"/>
        <v>3882.3999299999996</v>
      </c>
      <c r="Z41" s="373">
        <f t="shared" si="54"/>
        <v>10399.586560599999</v>
      </c>
      <c r="AA41" s="373">
        <f t="shared" si="55"/>
        <v>71896.294999999984</v>
      </c>
      <c r="AB41" s="376">
        <f t="shared" si="82"/>
        <v>3882.3999299999996</v>
      </c>
      <c r="AC41" s="373">
        <f t="shared" si="74"/>
        <v>10399.586560599999</v>
      </c>
      <c r="AD41" s="373">
        <f t="shared" si="56"/>
        <v>86275.553999999989</v>
      </c>
      <c r="AE41" s="376">
        <f t="shared" ref="AE41:AE52" si="93">H41*0.27</f>
        <v>3882.3999299999996</v>
      </c>
      <c r="AF41" s="373">
        <f t="shared" si="76"/>
        <v>10399.586560599999</v>
      </c>
      <c r="AG41" s="373">
        <f t="shared" si="57"/>
        <v>100654.81299999999</v>
      </c>
      <c r="AH41" s="377">
        <f t="shared" ref="AH41:AH44" si="94">(AG41-88000)*0.35+(88000-AD41)*0.27</f>
        <v>4894.7849700000006</v>
      </c>
      <c r="AI41" s="373">
        <f t="shared" si="58"/>
        <v>9387.2015205999978</v>
      </c>
      <c r="AJ41" s="373">
        <f t="shared" si="59"/>
        <v>115034.07199999999</v>
      </c>
      <c r="AK41" s="377">
        <f>H41*0.35</f>
        <v>5032.7406499999988</v>
      </c>
      <c r="AL41" s="373">
        <f t="shared" si="60"/>
        <v>9249.2458406000005</v>
      </c>
      <c r="AM41" s="373">
        <f t="shared" si="61"/>
        <v>129413.33099999998</v>
      </c>
      <c r="AN41" s="377">
        <f t="shared" si="92"/>
        <v>5032.7406499999988</v>
      </c>
      <c r="AO41" s="373">
        <f t="shared" si="62"/>
        <v>9249.2458406000005</v>
      </c>
      <c r="AP41" s="373">
        <f t="shared" si="63"/>
        <v>143792.58999999997</v>
      </c>
      <c r="AQ41" s="377">
        <f t="shared" si="80"/>
        <v>5032.7406499999988</v>
      </c>
      <c r="AR41" s="373">
        <f t="shared" si="81"/>
        <v>9249.2458406000005</v>
      </c>
      <c r="AS41" s="373">
        <f t="shared" si="64"/>
        <v>158171.84899999999</v>
      </c>
      <c r="AT41" s="377">
        <f t="shared" si="90"/>
        <v>5032.7406499999988</v>
      </c>
      <c r="AU41" s="373">
        <f t="shared" si="66"/>
        <v>9249.2458406000005</v>
      </c>
      <c r="AV41" s="373">
        <f t="shared" si="67"/>
        <v>172551.10799999998</v>
      </c>
      <c r="AW41" s="377">
        <f t="shared" si="68"/>
        <v>5032.7406499999988</v>
      </c>
      <c r="AX41" s="373">
        <f t="shared" si="69"/>
        <v>9249.2458406000005</v>
      </c>
      <c r="AY41" s="292"/>
      <c r="BA41" s="358"/>
    </row>
    <row r="42" spans="1:53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43"/>
        <v>19984.079999999998</v>
      </c>
      <c r="G42" s="233">
        <v>359</v>
      </c>
      <c r="H42" s="353">
        <f t="shared" si="70"/>
        <v>14379.258999999998</v>
      </c>
      <c r="I42" s="363">
        <v>0.65</v>
      </c>
      <c r="J42" s="362">
        <v>8000</v>
      </c>
      <c r="K42" s="361">
        <f t="shared" si="12"/>
        <v>10083.412507266665</v>
      </c>
      <c r="L42" s="390">
        <v>7803.7321784010674</v>
      </c>
      <c r="M42" s="390">
        <f t="shared" si="71"/>
        <v>2279.6803288655974</v>
      </c>
      <c r="N42" s="372">
        <f t="shared" si="13"/>
        <v>97.27250939999999</v>
      </c>
      <c r="O42" s="373">
        <f t="shared" si="44"/>
        <v>14379.258999999998</v>
      </c>
      <c r="P42" s="374">
        <f t="shared" si="45"/>
        <v>2375.8517999999995</v>
      </c>
      <c r="Q42" s="373">
        <f t="shared" si="46"/>
        <v>11906.1346906</v>
      </c>
      <c r="R42" s="373">
        <f t="shared" si="47"/>
        <v>28758.517999999996</v>
      </c>
      <c r="S42" s="376">
        <f t="shared" si="91"/>
        <v>3138.9480599999997</v>
      </c>
      <c r="T42" s="373">
        <f t="shared" si="48"/>
        <v>11143.038430599998</v>
      </c>
      <c r="U42" s="373">
        <f t="shared" si="49"/>
        <v>43137.776999999995</v>
      </c>
      <c r="V42" s="376">
        <f t="shared" si="87"/>
        <v>3882.3999299999996</v>
      </c>
      <c r="W42" s="373">
        <f t="shared" si="51"/>
        <v>10399.586560599999</v>
      </c>
      <c r="X42" s="373">
        <f t="shared" si="52"/>
        <v>57517.035999999993</v>
      </c>
      <c r="Y42" s="376">
        <f t="shared" si="53"/>
        <v>3882.3999299999996</v>
      </c>
      <c r="Z42" s="373">
        <f t="shared" si="54"/>
        <v>10399.586560599999</v>
      </c>
      <c r="AA42" s="373">
        <f t="shared" si="55"/>
        <v>71896.294999999984</v>
      </c>
      <c r="AB42" s="376">
        <f t="shared" si="82"/>
        <v>3882.3999299999996</v>
      </c>
      <c r="AC42" s="373">
        <f t="shared" si="74"/>
        <v>10399.586560599999</v>
      </c>
      <c r="AD42" s="373">
        <f t="shared" si="56"/>
        <v>86275.553999999989</v>
      </c>
      <c r="AE42" s="376">
        <f t="shared" si="93"/>
        <v>3882.3999299999996</v>
      </c>
      <c r="AF42" s="373">
        <f t="shared" si="76"/>
        <v>10399.586560599999</v>
      </c>
      <c r="AG42" s="373">
        <f t="shared" si="57"/>
        <v>100654.81299999999</v>
      </c>
      <c r="AH42" s="377">
        <f t="shared" si="94"/>
        <v>4894.7849700000006</v>
      </c>
      <c r="AI42" s="373">
        <f t="shared" si="58"/>
        <v>9387.2015205999978</v>
      </c>
      <c r="AJ42" s="373">
        <f t="shared" si="59"/>
        <v>115034.07199999999</v>
      </c>
      <c r="AK42" s="377">
        <f t="shared" ref="AK42:AK44" si="95">H42*0.35</f>
        <v>5032.7406499999988</v>
      </c>
      <c r="AL42" s="373">
        <f t="shared" si="60"/>
        <v>9249.2458406000005</v>
      </c>
      <c r="AM42" s="373">
        <f t="shared" si="61"/>
        <v>129413.33099999998</v>
      </c>
      <c r="AN42" s="377">
        <f t="shared" si="92"/>
        <v>5032.7406499999988</v>
      </c>
      <c r="AO42" s="373">
        <f t="shared" si="62"/>
        <v>9249.2458406000005</v>
      </c>
      <c r="AP42" s="373">
        <f t="shared" si="63"/>
        <v>143792.58999999997</v>
      </c>
      <c r="AQ42" s="377">
        <f t="shared" si="80"/>
        <v>5032.7406499999988</v>
      </c>
      <c r="AR42" s="373">
        <f t="shared" si="81"/>
        <v>9249.2458406000005</v>
      </c>
      <c r="AS42" s="373">
        <f t="shared" si="64"/>
        <v>158171.84899999999</v>
      </c>
      <c r="AT42" s="377">
        <f t="shared" si="90"/>
        <v>5032.7406499999988</v>
      </c>
      <c r="AU42" s="373">
        <f t="shared" si="66"/>
        <v>9249.2458406000005</v>
      </c>
      <c r="AV42" s="373">
        <f t="shared" si="67"/>
        <v>172551.10799999998</v>
      </c>
      <c r="AW42" s="377">
        <f t="shared" si="68"/>
        <v>5032.7406499999988</v>
      </c>
      <c r="AX42" s="373">
        <f t="shared" si="69"/>
        <v>9249.2458406000005</v>
      </c>
      <c r="AY42" s="292"/>
      <c r="BA42" s="358"/>
    </row>
    <row r="43" spans="1:53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43"/>
        <v>19984.079999999998</v>
      </c>
      <c r="G43" s="233">
        <v>359</v>
      </c>
      <c r="H43" s="353">
        <f t="shared" si="70"/>
        <v>14379.258999999998</v>
      </c>
      <c r="I43" s="363">
        <v>0.65</v>
      </c>
      <c r="J43" s="362">
        <v>7000</v>
      </c>
      <c r="K43" s="361">
        <f t="shared" si="12"/>
        <v>10083.412507266665</v>
      </c>
      <c r="L43" s="390">
        <v>6897.2603048250676</v>
      </c>
      <c r="M43" s="390">
        <f t="shared" si="71"/>
        <v>3186.1522024415972</v>
      </c>
      <c r="N43" s="372">
        <f t="shared" si="13"/>
        <v>97.27250939999999</v>
      </c>
      <c r="O43" s="373">
        <f t="shared" si="44"/>
        <v>14379.258999999998</v>
      </c>
      <c r="P43" s="374">
        <f t="shared" si="45"/>
        <v>2375.8517999999995</v>
      </c>
      <c r="Q43" s="373">
        <f t="shared" si="46"/>
        <v>11906.1346906</v>
      </c>
      <c r="R43" s="373">
        <f t="shared" si="47"/>
        <v>28758.517999999996</v>
      </c>
      <c r="S43" s="376">
        <f t="shared" si="91"/>
        <v>3138.9480599999997</v>
      </c>
      <c r="T43" s="373">
        <f t="shared" si="48"/>
        <v>11143.038430599998</v>
      </c>
      <c r="U43" s="373">
        <f t="shared" si="49"/>
        <v>43137.776999999995</v>
      </c>
      <c r="V43" s="376">
        <f t="shared" si="87"/>
        <v>3882.3999299999996</v>
      </c>
      <c r="W43" s="373">
        <f t="shared" si="51"/>
        <v>10399.586560599999</v>
      </c>
      <c r="X43" s="373">
        <f t="shared" si="52"/>
        <v>57517.035999999993</v>
      </c>
      <c r="Y43" s="376">
        <f t="shared" si="53"/>
        <v>3882.3999299999996</v>
      </c>
      <c r="Z43" s="373">
        <f t="shared" si="54"/>
        <v>10399.586560599999</v>
      </c>
      <c r="AA43" s="373">
        <f t="shared" si="55"/>
        <v>71896.294999999984</v>
      </c>
      <c r="AB43" s="376">
        <f t="shared" si="82"/>
        <v>3882.3999299999996</v>
      </c>
      <c r="AC43" s="373">
        <f t="shared" si="74"/>
        <v>10399.586560599999</v>
      </c>
      <c r="AD43" s="373">
        <f t="shared" si="56"/>
        <v>86275.553999999989</v>
      </c>
      <c r="AE43" s="376">
        <f t="shared" si="93"/>
        <v>3882.3999299999996</v>
      </c>
      <c r="AF43" s="373">
        <f t="shared" si="76"/>
        <v>10399.586560599999</v>
      </c>
      <c r="AG43" s="373">
        <f t="shared" si="57"/>
        <v>100654.81299999999</v>
      </c>
      <c r="AH43" s="377">
        <f t="shared" si="94"/>
        <v>4894.7849700000006</v>
      </c>
      <c r="AI43" s="373">
        <f t="shared" si="58"/>
        <v>9387.2015205999978</v>
      </c>
      <c r="AJ43" s="373">
        <f t="shared" si="59"/>
        <v>115034.07199999999</v>
      </c>
      <c r="AK43" s="377">
        <f t="shared" si="95"/>
        <v>5032.7406499999988</v>
      </c>
      <c r="AL43" s="373">
        <f t="shared" si="60"/>
        <v>9249.2458406000005</v>
      </c>
      <c r="AM43" s="373">
        <f t="shared" si="61"/>
        <v>129413.33099999998</v>
      </c>
      <c r="AN43" s="377">
        <f t="shared" si="92"/>
        <v>5032.7406499999988</v>
      </c>
      <c r="AO43" s="373">
        <f t="shared" si="62"/>
        <v>9249.2458406000005</v>
      </c>
      <c r="AP43" s="373">
        <f t="shared" si="63"/>
        <v>143792.58999999997</v>
      </c>
      <c r="AQ43" s="377">
        <f t="shared" si="80"/>
        <v>5032.7406499999988</v>
      </c>
      <c r="AR43" s="373">
        <f t="shared" si="81"/>
        <v>9249.2458406000005</v>
      </c>
      <c r="AS43" s="373">
        <f t="shared" si="64"/>
        <v>158171.84899999999</v>
      </c>
      <c r="AT43" s="377">
        <f t="shared" si="90"/>
        <v>5032.7406499999988</v>
      </c>
      <c r="AU43" s="373">
        <f t="shared" si="66"/>
        <v>9249.2458406000005</v>
      </c>
      <c r="AV43" s="373">
        <f t="shared" si="67"/>
        <v>172551.10799999998</v>
      </c>
      <c r="AW43" s="377">
        <f t="shared" si="68"/>
        <v>5032.7406499999988</v>
      </c>
      <c r="AX43" s="373">
        <f t="shared" si="69"/>
        <v>9249.2458406000005</v>
      </c>
      <c r="AY43" s="292"/>
      <c r="BA43" s="358"/>
    </row>
    <row r="44" spans="1:53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43"/>
        <v>19984.079999999998</v>
      </c>
      <c r="G44" s="233">
        <v>359</v>
      </c>
      <c r="H44" s="353">
        <f t="shared" si="70"/>
        <v>14379.258999999998</v>
      </c>
      <c r="I44" s="363">
        <v>0.65</v>
      </c>
      <c r="J44" s="362">
        <v>6700</v>
      </c>
      <c r="K44" s="361">
        <f t="shared" si="12"/>
        <v>10083.412507266665</v>
      </c>
      <c r="L44" s="390">
        <v>6625.3187427522671</v>
      </c>
      <c r="M44" s="390">
        <f t="shared" si="71"/>
        <v>3458.0937645143977</v>
      </c>
      <c r="N44" s="372">
        <f t="shared" si="13"/>
        <v>97.27250939999999</v>
      </c>
      <c r="O44" s="373">
        <f t="shared" si="44"/>
        <v>14379.258999999998</v>
      </c>
      <c r="P44" s="374">
        <f t="shared" si="45"/>
        <v>2375.8517999999995</v>
      </c>
      <c r="Q44" s="373">
        <f t="shared" si="46"/>
        <v>11906.1346906</v>
      </c>
      <c r="R44" s="373">
        <f t="shared" si="47"/>
        <v>28758.517999999996</v>
      </c>
      <c r="S44" s="376">
        <f t="shared" si="91"/>
        <v>3138.9480599999997</v>
      </c>
      <c r="T44" s="373">
        <f t="shared" si="48"/>
        <v>11143.038430599998</v>
      </c>
      <c r="U44" s="373">
        <f t="shared" si="49"/>
        <v>43137.776999999995</v>
      </c>
      <c r="V44" s="376">
        <f t="shared" si="87"/>
        <v>3882.3999299999996</v>
      </c>
      <c r="W44" s="373">
        <f t="shared" si="51"/>
        <v>10399.586560599999</v>
      </c>
      <c r="X44" s="373">
        <f t="shared" si="52"/>
        <v>57517.035999999993</v>
      </c>
      <c r="Y44" s="376">
        <f t="shared" si="53"/>
        <v>3882.3999299999996</v>
      </c>
      <c r="Z44" s="373">
        <f t="shared" si="54"/>
        <v>10399.586560599999</v>
      </c>
      <c r="AA44" s="373">
        <f t="shared" si="55"/>
        <v>71896.294999999984</v>
      </c>
      <c r="AB44" s="376">
        <f t="shared" si="82"/>
        <v>3882.3999299999996</v>
      </c>
      <c r="AC44" s="373">
        <f t="shared" si="74"/>
        <v>10399.586560599999</v>
      </c>
      <c r="AD44" s="373">
        <f t="shared" si="56"/>
        <v>86275.553999999989</v>
      </c>
      <c r="AE44" s="376">
        <f t="shared" si="93"/>
        <v>3882.3999299999996</v>
      </c>
      <c r="AF44" s="373">
        <f t="shared" si="76"/>
        <v>10399.586560599999</v>
      </c>
      <c r="AG44" s="373">
        <f t="shared" si="57"/>
        <v>100654.81299999999</v>
      </c>
      <c r="AH44" s="377">
        <f t="shared" si="94"/>
        <v>4894.7849700000006</v>
      </c>
      <c r="AI44" s="373">
        <f t="shared" si="58"/>
        <v>9387.2015205999978</v>
      </c>
      <c r="AJ44" s="373">
        <f t="shared" si="59"/>
        <v>115034.07199999999</v>
      </c>
      <c r="AK44" s="377">
        <f t="shared" si="95"/>
        <v>5032.7406499999988</v>
      </c>
      <c r="AL44" s="373">
        <f t="shared" si="60"/>
        <v>9249.2458406000005</v>
      </c>
      <c r="AM44" s="373">
        <f t="shared" si="61"/>
        <v>129413.33099999998</v>
      </c>
      <c r="AN44" s="377">
        <f t="shared" si="92"/>
        <v>5032.7406499999988</v>
      </c>
      <c r="AO44" s="373">
        <f t="shared" si="62"/>
        <v>9249.2458406000005</v>
      </c>
      <c r="AP44" s="373">
        <f t="shared" si="63"/>
        <v>143792.58999999997</v>
      </c>
      <c r="AQ44" s="377">
        <f t="shared" si="80"/>
        <v>5032.7406499999988</v>
      </c>
      <c r="AR44" s="373">
        <f t="shared" si="81"/>
        <v>9249.2458406000005</v>
      </c>
      <c r="AS44" s="373">
        <f t="shared" si="64"/>
        <v>158171.84899999999</v>
      </c>
      <c r="AT44" s="377">
        <f t="shared" si="90"/>
        <v>5032.7406499999988</v>
      </c>
      <c r="AU44" s="373">
        <f t="shared" si="66"/>
        <v>9249.2458406000005</v>
      </c>
      <c r="AV44" s="373">
        <f t="shared" si="67"/>
        <v>172551.10799999998</v>
      </c>
      <c r="AW44" s="377">
        <f t="shared" si="68"/>
        <v>5032.7406499999988</v>
      </c>
      <c r="AX44" s="373">
        <f t="shared" si="69"/>
        <v>9249.2458406000005</v>
      </c>
      <c r="AY44" s="292"/>
      <c r="BA44" s="358"/>
    </row>
    <row r="45" spans="1:53" ht="28.5" x14ac:dyDescent="0.45">
      <c r="A45" s="716"/>
      <c r="B45" s="478" t="s">
        <v>226</v>
      </c>
      <c r="C45" s="479">
        <v>200</v>
      </c>
      <c r="D45" s="239">
        <v>4996.0199999999995</v>
      </c>
      <c r="E45" s="239">
        <v>6661.36</v>
      </c>
      <c r="F45" s="239">
        <f t="shared" si="43"/>
        <v>11657.38</v>
      </c>
      <c r="G45" s="480">
        <v>359</v>
      </c>
      <c r="H45" s="481">
        <f t="shared" si="70"/>
        <v>8966.9039999999986</v>
      </c>
      <c r="I45" s="477">
        <v>0.65</v>
      </c>
      <c r="J45" s="482">
        <v>6800</v>
      </c>
      <c r="K45" s="483">
        <f t="shared" si="12"/>
        <v>6601.1033002666654</v>
      </c>
      <c r="L45" s="484">
        <v>6756.2535689354663</v>
      </c>
      <c r="M45" s="484">
        <f t="shared" si="71"/>
        <v>-155.15026866880089</v>
      </c>
      <c r="N45" s="372">
        <f t="shared" si="13"/>
        <v>61.550966399999993</v>
      </c>
      <c r="O45" s="373">
        <f t="shared" si="44"/>
        <v>8966.9039999999986</v>
      </c>
      <c r="P45" s="378">
        <f t="shared" ref="P45:P54" si="96">O45*0.15</f>
        <v>1345.0355999999997</v>
      </c>
      <c r="Q45" s="373">
        <f t="shared" si="46"/>
        <v>7560.3174335999993</v>
      </c>
      <c r="R45" s="373">
        <f t="shared" si="47"/>
        <v>17933.807999999997</v>
      </c>
      <c r="S45" s="374">
        <f t="shared" ref="S45:S51" si="97">(R45-10000)*0.2+(10000-O45)*0.15</f>
        <v>1741.7259999999999</v>
      </c>
      <c r="T45" s="373">
        <f t="shared" si="48"/>
        <v>7163.6270335999989</v>
      </c>
      <c r="U45" s="373">
        <f t="shared" si="49"/>
        <v>26900.711999999996</v>
      </c>
      <c r="V45" s="376">
        <f t="shared" ref="V45:V46" si="98">(U45-25000)*0.27+(25000-R45)*0.2</f>
        <v>1926.4306399999996</v>
      </c>
      <c r="W45" s="373">
        <f t="shared" si="51"/>
        <v>6978.9223935999989</v>
      </c>
      <c r="X45" s="373">
        <f t="shared" si="52"/>
        <v>35867.615999999995</v>
      </c>
      <c r="Y45" s="376">
        <f t="shared" si="53"/>
        <v>2421.0640799999996</v>
      </c>
      <c r="Z45" s="373">
        <f t="shared" si="54"/>
        <v>6484.2889535999984</v>
      </c>
      <c r="AA45" s="373">
        <f t="shared" si="55"/>
        <v>44834.51999999999</v>
      </c>
      <c r="AB45" s="376">
        <f t="shared" si="82"/>
        <v>2421.0640799999996</v>
      </c>
      <c r="AC45" s="373">
        <f t="shared" si="74"/>
        <v>6484.2889535999984</v>
      </c>
      <c r="AD45" s="373">
        <f t="shared" si="56"/>
        <v>53801.423999999992</v>
      </c>
      <c r="AE45" s="376">
        <f t="shared" si="93"/>
        <v>2421.0640799999996</v>
      </c>
      <c r="AF45" s="373">
        <f t="shared" si="76"/>
        <v>6484.2889535999984</v>
      </c>
      <c r="AG45" s="373">
        <f t="shared" si="57"/>
        <v>62768.327999999994</v>
      </c>
      <c r="AH45" s="376">
        <f t="shared" ref="AH45:AH52" si="99">H45*0.27</f>
        <v>2421.0640799999996</v>
      </c>
      <c r="AI45" s="373">
        <f t="shared" si="58"/>
        <v>6484.2889535999984</v>
      </c>
      <c r="AJ45" s="373">
        <f t="shared" si="59"/>
        <v>71735.231999999989</v>
      </c>
      <c r="AK45" s="376">
        <f t="shared" ref="AK45:AK54" si="100">H45*0.27</f>
        <v>2421.0640799999996</v>
      </c>
      <c r="AL45" s="373">
        <f t="shared" si="60"/>
        <v>6484.2889535999984</v>
      </c>
      <c r="AM45" s="373">
        <f t="shared" si="61"/>
        <v>80702.135999999984</v>
      </c>
      <c r="AN45" s="376">
        <f>H45*0.27</f>
        <v>2421.0640799999996</v>
      </c>
      <c r="AO45" s="373">
        <f t="shared" si="62"/>
        <v>6484.2889535999984</v>
      </c>
      <c r="AP45" s="373">
        <f t="shared" si="63"/>
        <v>89669.039999999979</v>
      </c>
      <c r="AQ45" s="376">
        <f>(AP45-88000)*0.35+(88000-AM45)*0.27</f>
        <v>2554.587279999997</v>
      </c>
      <c r="AR45" s="373">
        <f t="shared" si="81"/>
        <v>6350.7657536000015</v>
      </c>
      <c r="AS45" s="373">
        <f t="shared" si="64"/>
        <v>98635.943999999989</v>
      </c>
      <c r="AT45" s="377">
        <f t="shared" ref="AT45:AT46" si="101">H45*0.35</f>
        <v>3138.4163999999992</v>
      </c>
      <c r="AU45" s="373">
        <f t="shared" si="66"/>
        <v>5766.9366335999994</v>
      </c>
      <c r="AV45" s="373">
        <f t="shared" si="67"/>
        <v>107602.84799999998</v>
      </c>
      <c r="AW45" s="377">
        <f t="shared" si="68"/>
        <v>3138.4163999999992</v>
      </c>
      <c r="AX45" s="373">
        <f t="shared" si="69"/>
        <v>5766.9366335999994</v>
      </c>
      <c r="AY45" s="292"/>
      <c r="BA45" s="358"/>
    </row>
    <row r="46" spans="1:53" ht="28.5" x14ac:dyDescent="0.45">
      <c r="A46" s="716"/>
      <c r="B46" s="461" t="s">
        <v>227</v>
      </c>
      <c r="C46" s="231">
        <v>200</v>
      </c>
      <c r="D46" s="234">
        <v>4996.0199999999995</v>
      </c>
      <c r="E46" s="234">
        <v>6661.36</v>
      </c>
      <c r="F46" s="234">
        <f t="shared" si="43"/>
        <v>11657.38</v>
      </c>
      <c r="G46" s="233">
        <v>359</v>
      </c>
      <c r="H46" s="353">
        <f t="shared" si="70"/>
        <v>8966.9039999999986</v>
      </c>
      <c r="I46" s="363">
        <v>0.65</v>
      </c>
      <c r="J46" s="362">
        <v>6000</v>
      </c>
      <c r="K46" s="361">
        <f t="shared" si="12"/>
        <v>6601.1033002666654</v>
      </c>
      <c r="L46" s="390">
        <v>6025.1402412746656</v>
      </c>
      <c r="M46" s="390">
        <f t="shared" si="71"/>
        <v>575.96305899199979</v>
      </c>
      <c r="N46" s="372">
        <f t="shared" si="13"/>
        <v>61.550966399999993</v>
      </c>
      <c r="O46" s="373">
        <f t="shared" si="44"/>
        <v>8966.9039999999986</v>
      </c>
      <c r="P46" s="378">
        <f t="shared" si="96"/>
        <v>1345.0355999999997</v>
      </c>
      <c r="Q46" s="373">
        <f t="shared" si="46"/>
        <v>7560.3174335999993</v>
      </c>
      <c r="R46" s="373">
        <f t="shared" si="47"/>
        <v>17933.807999999997</v>
      </c>
      <c r="S46" s="374">
        <f t="shared" si="97"/>
        <v>1741.7259999999999</v>
      </c>
      <c r="T46" s="373">
        <f t="shared" si="48"/>
        <v>7163.6270335999989</v>
      </c>
      <c r="U46" s="373">
        <f t="shared" si="49"/>
        <v>26900.711999999996</v>
      </c>
      <c r="V46" s="376">
        <f t="shared" si="98"/>
        <v>1926.4306399999996</v>
      </c>
      <c r="W46" s="373">
        <f t="shared" si="51"/>
        <v>6978.9223935999989</v>
      </c>
      <c r="X46" s="373">
        <f t="shared" si="52"/>
        <v>35867.615999999995</v>
      </c>
      <c r="Y46" s="376">
        <f t="shared" si="53"/>
        <v>2421.0640799999996</v>
      </c>
      <c r="Z46" s="373">
        <f t="shared" si="54"/>
        <v>6484.2889535999984</v>
      </c>
      <c r="AA46" s="373">
        <f t="shared" si="55"/>
        <v>44834.51999999999</v>
      </c>
      <c r="AB46" s="376">
        <f t="shared" si="82"/>
        <v>2421.0640799999996</v>
      </c>
      <c r="AC46" s="373">
        <f t="shared" si="74"/>
        <v>6484.2889535999984</v>
      </c>
      <c r="AD46" s="373">
        <f t="shared" si="56"/>
        <v>53801.423999999992</v>
      </c>
      <c r="AE46" s="376">
        <f t="shared" si="93"/>
        <v>2421.0640799999996</v>
      </c>
      <c r="AF46" s="373">
        <f t="shared" si="76"/>
        <v>6484.2889535999984</v>
      </c>
      <c r="AG46" s="373">
        <f t="shared" si="57"/>
        <v>62768.327999999994</v>
      </c>
      <c r="AH46" s="376">
        <f t="shared" si="99"/>
        <v>2421.0640799999996</v>
      </c>
      <c r="AI46" s="373">
        <f t="shared" si="58"/>
        <v>6484.2889535999984</v>
      </c>
      <c r="AJ46" s="373">
        <f t="shared" si="59"/>
        <v>71735.231999999989</v>
      </c>
      <c r="AK46" s="376">
        <f t="shared" si="100"/>
        <v>2421.0640799999996</v>
      </c>
      <c r="AL46" s="373">
        <f t="shared" si="60"/>
        <v>6484.2889535999984</v>
      </c>
      <c r="AM46" s="373">
        <f t="shared" si="61"/>
        <v>80702.135999999984</v>
      </c>
      <c r="AN46" s="376">
        <f>H46*0.27</f>
        <v>2421.0640799999996</v>
      </c>
      <c r="AO46" s="373">
        <f t="shared" si="62"/>
        <v>6484.2889535999984</v>
      </c>
      <c r="AP46" s="373">
        <f t="shared" si="63"/>
        <v>89669.039999999979</v>
      </c>
      <c r="AQ46" s="376">
        <f>(AP46-88000)*0.35+(88000-AM46)*0.27</f>
        <v>2554.587279999997</v>
      </c>
      <c r="AR46" s="373">
        <f t="shared" si="81"/>
        <v>6350.7657536000015</v>
      </c>
      <c r="AS46" s="373">
        <f t="shared" si="64"/>
        <v>98635.943999999989</v>
      </c>
      <c r="AT46" s="377">
        <f t="shared" si="101"/>
        <v>3138.4163999999992</v>
      </c>
      <c r="AU46" s="373">
        <f t="shared" si="66"/>
        <v>5766.9366335999994</v>
      </c>
      <c r="AV46" s="373">
        <f t="shared" si="67"/>
        <v>107602.84799999998</v>
      </c>
      <c r="AW46" s="377">
        <f t="shared" si="68"/>
        <v>3138.4163999999992</v>
      </c>
      <c r="AX46" s="373">
        <f t="shared" si="69"/>
        <v>5766.9366335999994</v>
      </c>
      <c r="AY46" s="292"/>
      <c r="BA46" s="358"/>
    </row>
    <row r="47" spans="1:53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43"/>
        <v>13988.856</v>
      </c>
      <c r="G47" s="233">
        <v>359</v>
      </c>
      <c r="H47" s="353">
        <f t="shared" si="70"/>
        <v>10482.363399999998</v>
      </c>
      <c r="I47" s="363">
        <v>0.65</v>
      </c>
      <c r="J47" s="362">
        <v>7351</v>
      </c>
      <c r="K47" s="361">
        <f t="shared" si="12"/>
        <v>7576.1498782266654</v>
      </c>
      <c r="L47" s="390">
        <v>7187.3313043693861</v>
      </c>
      <c r="M47" s="390">
        <f t="shared" si="71"/>
        <v>388.81857385727926</v>
      </c>
      <c r="N47" s="372">
        <f t="shared" si="13"/>
        <v>71.552998439999982</v>
      </c>
      <c r="O47" s="373">
        <f t="shared" si="44"/>
        <v>10482.363399999998</v>
      </c>
      <c r="P47" s="374">
        <f t="shared" ref="P47:P48" si="102">(O47-10000)*0.2+10000*0.15</f>
        <v>1596.4726799999996</v>
      </c>
      <c r="Q47" s="373">
        <f t="shared" si="46"/>
        <v>8814.3377215599994</v>
      </c>
      <c r="R47" s="373">
        <f t="shared" si="47"/>
        <v>20964.726799999997</v>
      </c>
      <c r="S47" s="374">
        <f>H47*0.2</f>
        <v>2096.4726799999999</v>
      </c>
      <c r="T47" s="373">
        <f t="shared" si="48"/>
        <v>8314.3377215599976</v>
      </c>
      <c r="U47" s="373">
        <f t="shared" si="49"/>
        <v>31447.090199999995</v>
      </c>
      <c r="V47" s="376">
        <f>(U47-25000)*0.27+(25000-R47)*0.2</f>
        <v>2547.7689939999996</v>
      </c>
      <c r="W47" s="373">
        <f t="shared" si="51"/>
        <v>7863.0414075599983</v>
      </c>
      <c r="X47" s="373">
        <f t="shared" si="52"/>
        <v>41929.453599999993</v>
      </c>
      <c r="Y47" s="376">
        <f t="shared" si="53"/>
        <v>2830.2381179999998</v>
      </c>
      <c r="Z47" s="373">
        <f t="shared" si="54"/>
        <v>7580.5722835599991</v>
      </c>
      <c r="AA47" s="373">
        <f t="shared" si="55"/>
        <v>52411.816999999995</v>
      </c>
      <c r="AB47" s="376">
        <f t="shared" si="82"/>
        <v>2830.2381179999998</v>
      </c>
      <c r="AC47" s="373">
        <f t="shared" si="74"/>
        <v>7580.5722835599991</v>
      </c>
      <c r="AD47" s="373">
        <f t="shared" si="56"/>
        <v>62894.18039999999</v>
      </c>
      <c r="AE47" s="376">
        <f t="shared" si="93"/>
        <v>2830.2381179999998</v>
      </c>
      <c r="AF47" s="373">
        <f t="shared" si="76"/>
        <v>7580.5722835599991</v>
      </c>
      <c r="AG47" s="373">
        <f t="shared" si="57"/>
        <v>73376.543799999985</v>
      </c>
      <c r="AH47" s="376">
        <f t="shared" si="99"/>
        <v>2830.2381179999998</v>
      </c>
      <c r="AI47" s="373">
        <f t="shared" si="58"/>
        <v>7580.5722835599991</v>
      </c>
      <c r="AJ47" s="373">
        <f t="shared" si="59"/>
        <v>83858.907199999987</v>
      </c>
      <c r="AK47" s="376">
        <f t="shared" si="100"/>
        <v>2830.2381179999998</v>
      </c>
      <c r="AL47" s="373">
        <f t="shared" si="60"/>
        <v>7580.5722835599991</v>
      </c>
      <c r="AM47" s="373">
        <f t="shared" si="61"/>
        <v>94341.270599999989</v>
      </c>
      <c r="AN47" s="377">
        <f>(AM47-88000)*0.35+(88000-AJ47)*0.27</f>
        <v>3337.5397659999999</v>
      </c>
      <c r="AO47" s="373">
        <f t="shared" si="62"/>
        <v>7073.2706355599985</v>
      </c>
      <c r="AP47" s="373">
        <f t="shared" si="63"/>
        <v>104823.63399999999</v>
      </c>
      <c r="AQ47" s="377">
        <f>H47*0.35</f>
        <v>3668.8271899999991</v>
      </c>
      <c r="AR47" s="373">
        <f t="shared" si="81"/>
        <v>6741.9832115599993</v>
      </c>
      <c r="AS47" s="373">
        <f t="shared" si="64"/>
        <v>115305.99739999998</v>
      </c>
      <c r="AT47" s="377">
        <f>H47*0.35</f>
        <v>3668.8271899999991</v>
      </c>
      <c r="AU47" s="373">
        <f t="shared" si="66"/>
        <v>6741.9832115599993</v>
      </c>
      <c r="AV47" s="373">
        <f t="shared" si="67"/>
        <v>125788.36079999998</v>
      </c>
      <c r="AW47" s="377">
        <f>H47*0.35</f>
        <v>3668.8271899999991</v>
      </c>
      <c r="AX47" s="373">
        <f t="shared" si="69"/>
        <v>6741.9832115599993</v>
      </c>
      <c r="AY47" s="292"/>
      <c r="BA47" s="358"/>
    </row>
    <row r="48" spans="1:53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43"/>
        <v>13988.856</v>
      </c>
      <c r="G48" s="233">
        <v>359</v>
      </c>
      <c r="H48" s="353">
        <f t="shared" si="70"/>
        <v>10482.363399999998</v>
      </c>
      <c r="I48" s="363">
        <v>0.65</v>
      </c>
      <c r="J48" s="362">
        <v>6000</v>
      </c>
      <c r="K48" s="361">
        <f t="shared" si="12"/>
        <v>7576.1498782266654</v>
      </c>
      <c r="L48" s="390">
        <v>5990.7884312490669</v>
      </c>
      <c r="M48" s="390">
        <f t="shared" si="71"/>
        <v>1585.3614469775985</v>
      </c>
      <c r="N48" s="372">
        <f t="shared" si="13"/>
        <v>71.552998439999982</v>
      </c>
      <c r="O48" s="373">
        <f t="shared" si="44"/>
        <v>10482.363399999998</v>
      </c>
      <c r="P48" s="374">
        <f t="shared" si="102"/>
        <v>1596.4726799999996</v>
      </c>
      <c r="Q48" s="373">
        <f t="shared" si="46"/>
        <v>8814.3377215599994</v>
      </c>
      <c r="R48" s="373">
        <f t="shared" si="47"/>
        <v>20964.726799999997</v>
      </c>
      <c r="S48" s="374">
        <f>H48*0.2</f>
        <v>2096.4726799999999</v>
      </c>
      <c r="T48" s="373">
        <f t="shared" si="48"/>
        <v>8314.3377215599976</v>
      </c>
      <c r="U48" s="373">
        <f t="shared" si="49"/>
        <v>31447.090199999995</v>
      </c>
      <c r="V48" s="376">
        <f>(U48-25000)*0.27+(25000-R48)*0.2</f>
        <v>2547.7689939999996</v>
      </c>
      <c r="W48" s="373">
        <f t="shared" si="51"/>
        <v>7863.0414075599983</v>
      </c>
      <c r="X48" s="373">
        <f t="shared" si="52"/>
        <v>41929.453599999993</v>
      </c>
      <c r="Y48" s="376">
        <f t="shared" si="53"/>
        <v>2830.2381179999998</v>
      </c>
      <c r="Z48" s="373">
        <f t="shared" si="54"/>
        <v>7580.5722835599991</v>
      </c>
      <c r="AA48" s="373">
        <f t="shared" si="55"/>
        <v>52411.816999999995</v>
      </c>
      <c r="AB48" s="376">
        <f t="shared" si="82"/>
        <v>2830.2381179999998</v>
      </c>
      <c r="AC48" s="373">
        <f t="shared" si="74"/>
        <v>7580.5722835599991</v>
      </c>
      <c r="AD48" s="373">
        <f t="shared" si="56"/>
        <v>62894.18039999999</v>
      </c>
      <c r="AE48" s="376">
        <f t="shared" si="93"/>
        <v>2830.2381179999998</v>
      </c>
      <c r="AF48" s="373">
        <f t="shared" si="76"/>
        <v>7580.5722835599991</v>
      </c>
      <c r="AG48" s="373">
        <f t="shared" si="57"/>
        <v>73376.543799999985</v>
      </c>
      <c r="AH48" s="376">
        <f t="shared" si="99"/>
        <v>2830.2381179999998</v>
      </c>
      <c r="AI48" s="373">
        <f t="shared" si="58"/>
        <v>7580.5722835599991</v>
      </c>
      <c r="AJ48" s="373">
        <f t="shared" si="59"/>
        <v>83858.907199999987</v>
      </c>
      <c r="AK48" s="376">
        <f t="shared" si="100"/>
        <v>2830.2381179999998</v>
      </c>
      <c r="AL48" s="373">
        <f t="shared" si="60"/>
        <v>7580.5722835599991</v>
      </c>
      <c r="AM48" s="373">
        <f t="shared" si="61"/>
        <v>94341.270599999989</v>
      </c>
      <c r="AN48" s="377">
        <f>(AM48-88000)*0.35+(88000-AJ48)*0.27</f>
        <v>3337.5397659999999</v>
      </c>
      <c r="AO48" s="373">
        <f t="shared" si="62"/>
        <v>7073.2706355599985</v>
      </c>
      <c r="AP48" s="373">
        <f t="shared" si="63"/>
        <v>104823.63399999999</v>
      </c>
      <c r="AQ48" s="377">
        <f>H48*0.35</f>
        <v>3668.8271899999991</v>
      </c>
      <c r="AR48" s="373">
        <f t="shared" si="81"/>
        <v>6741.9832115599993</v>
      </c>
      <c r="AS48" s="373">
        <f t="shared" si="64"/>
        <v>115305.99739999998</v>
      </c>
      <c r="AT48" s="377">
        <f>H48*0.35</f>
        <v>3668.8271899999991</v>
      </c>
      <c r="AU48" s="373">
        <f t="shared" si="66"/>
        <v>6741.9832115599993</v>
      </c>
      <c r="AV48" s="373">
        <f t="shared" si="67"/>
        <v>125788.36079999998</v>
      </c>
      <c r="AW48" s="377">
        <f>H48*0.35</f>
        <v>3668.8271899999991</v>
      </c>
      <c r="AX48" s="373">
        <f t="shared" si="69"/>
        <v>6741.9832115599993</v>
      </c>
      <c r="AY48" s="292"/>
      <c r="BA48" s="358"/>
    </row>
    <row r="49" spans="1:53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43"/>
        <v>10991.243999999999</v>
      </c>
      <c r="G49" s="233">
        <v>359</v>
      </c>
      <c r="H49" s="353">
        <f t="shared" si="70"/>
        <v>8533.9156000000003</v>
      </c>
      <c r="I49" s="363">
        <v>0.65</v>
      </c>
      <c r="J49" s="362">
        <v>6100</v>
      </c>
      <c r="K49" s="361">
        <f t="shared" si="12"/>
        <v>6322.5185637066688</v>
      </c>
      <c r="L49" s="390">
        <v>6063.3061811351463</v>
      </c>
      <c r="M49" s="390">
        <f t="shared" si="71"/>
        <v>259.21238257152254</v>
      </c>
      <c r="N49" s="372">
        <f t="shared" si="13"/>
        <v>58.693242959999999</v>
      </c>
      <c r="O49" s="373">
        <f t="shared" si="44"/>
        <v>8533.9156000000003</v>
      </c>
      <c r="P49" s="378">
        <f t="shared" si="96"/>
        <v>1280.08734</v>
      </c>
      <c r="Q49" s="373">
        <f t="shared" si="46"/>
        <v>7195.1350170400001</v>
      </c>
      <c r="R49" s="373">
        <f t="shared" si="47"/>
        <v>17067.831200000001</v>
      </c>
      <c r="S49" s="374">
        <f t="shared" si="97"/>
        <v>1633.4789000000001</v>
      </c>
      <c r="T49" s="373">
        <f t="shared" si="48"/>
        <v>6841.7434570400001</v>
      </c>
      <c r="U49" s="373">
        <f t="shared" si="49"/>
        <v>25601.746800000001</v>
      </c>
      <c r="V49" s="376">
        <f t="shared" ref="V49:V51" si="103">(U49-25000)*0.27+(25000-R49)*0.2</f>
        <v>1748.9053960000001</v>
      </c>
      <c r="W49" s="373">
        <f t="shared" si="51"/>
        <v>6726.31696104</v>
      </c>
      <c r="X49" s="373">
        <f t="shared" si="52"/>
        <v>34135.662400000001</v>
      </c>
      <c r="Y49" s="376">
        <f t="shared" ref="Y49:Y51" si="104">H49*0.27</f>
        <v>2304.1572120000001</v>
      </c>
      <c r="Z49" s="373">
        <f t="shared" si="54"/>
        <v>6171.0651450400001</v>
      </c>
      <c r="AA49" s="373">
        <f t="shared" si="55"/>
        <v>42669.578000000001</v>
      </c>
      <c r="AB49" s="376">
        <f t="shared" si="82"/>
        <v>2304.1572120000001</v>
      </c>
      <c r="AC49" s="373">
        <f t="shared" si="74"/>
        <v>6171.0651450400001</v>
      </c>
      <c r="AD49" s="373">
        <f t="shared" si="56"/>
        <v>51203.493600000002</v>
      </c>
      <c r="AE49" s="376">
        <f t="shared" si="93"/>
        <v>2304.1572120000001</v>
      </c>
      <c r="AF49" s="373">
        <f t="shared" si="76"/>
        <v>6171.0651450400001</v>
      </c>
      <c r="AG49" s="373">
        <f t="shared" si="57"/>
        <v>59737.409200000002</v>
      </c>
      <c r="AH49" s="376">
        <f t="shared" si="99"/>
        <v>2304.1572120000001</v>
      </c>
      <c r="AI49" s="373">
        <f t="shared" si="58"/>
        <v>6171.0651450400001</v>
      </c>
      <c r="AJ49" s="373">
        <f t="shared" si="59"/>
        <v>68271.324800000002</v>
      </c>
      <c r="AK49" s="376">
        <f t="shared" si="100"/>
        <v>2304.1572120000001</v>
      </c>
      <c r="AL49" s="373">
        <f t="shared" si="60"/>
        <v>6171.0651450400001</v>
      </c>
      <c r="AM49" s="373">
        <f t="shared" si="61"/>
        <v>76805.24040000001</v>
      </c>
      <c r="AN49" s="376">
        <f t="shared" ref="AN49:AN54" si="105">H49*0.27</f>
        <v>2304.1572120000001</v>
      </c>
      <c r="AO49" s="373">
        <f t="shared" si="62"/>
        <v>6171.0651450400001</v>
      </c>
      <c r="AP49" s="373">
        <f t="shared" si="63"/>
        <v>85339.156000000003</v>
      </c>
      <c r="AQ49" s="376">
        <f>H49*0.27</f>
        <v>2304.1572120000001</v>
      </c>
      <c r="AR49" s="373">
        <f t="shared" si="81"/>
        <v>6171.0651450400001</v>
      </c>
      <c r="AS49" s="373">
        <f t="shared" si="64"/>
        <v>93873.071599999996</v>
      </c>
      <c r="AT49" s="377">
        <f>(AS49-88000)*0.35+(88000-AP49)*0.27</f>
        <v>2774.0029399999976</v>
      </c>
      <c r="AU49" s="373">
        <f t="shared" si="66"/>
        <v>5701.2194170400026</v>
      </c>
      <c r="AV49" s="373">
        <f t="shared" si="67"/>
        <v>102406.9872</v>
      </c>
      <c r="AW49" s="377">
        <f>H49*0.35</f>
        <v>2986.8704600000001</v>
      </c>
      <c r="AX49" s="373">
        <f t="shared" si="69"/>
        <v>5488.35189704</v>
      </c>
      <c r="AY49" s="292"/>
      <c r="BA49" s="358"/>
    </row>
    <row r="50" spans="1:53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43"/>
        <v>10991.243999999999</v>
      </c>
      <c r="G50" s="233">
        <v>359</v>
      </c>
      <c r="H50" s="353">
        <f t="shared" si="70"/>
        <v>8533.9156000000003</v>
      </c>
      <c r="I50" s="363">
        <v>0.65</v>
      </c>
      <c r="J50" s="362">
        <v>5400</v>
      </c>
      <c r="K50" s="361">
        <f t="shared" si="12"/>
        <v>6322.5185637066688</v>
      </c>
      <c r="L50" s="390">
        <v>5393.3113372057587</v>
      </c>
      <c r="M50" s="390">
        <f t="shared" si="71"/>
        <v>929.20722650091011</v>
      </c>
      <c r="N50" s="372">
        <f t="shared" si="13"/>
        <v>58.693242959999999</v>
      </c>
      <c r="O50" s="373">
        <f t="shared" si="44"/>
        <v>8533.9156000000003</v>
      </c>
      <c r="P50" s="378">
        <f t="shared" si="96"/>
        <v>1280.08734</v>
      </c>
      <c r="Q50" s="373">
        <f t="shared" si="46"/>
        <v>7195.1350170400001</v>
      </c>
      <c r="R50" s="373">
        <f t="shared" si="47"/>
        <v>17067.831200000001</v>
      </c>
      <c r="S50" s="374">
        <f t="shared" si="97"/>
        <v>1633.4789000000001</v>
      </c>
      <c r="T50" s="373">
        <f t="shared" si="48"/>
        <v>6841.7434570400001</v>
      </c>
      <c r="U50" s="373">
        <f t="shared" si="49"/>
        <v>25601.746800000001</v>
      </c>
      <c r="V50" s="376">
        <f t="shared" si="103"/>
        <v>1748.9053960000001</v>
      </c>
      <c r="W50" s="373">
        <f t="shared" si="51"/>
        <v>6726.31696104</v>
      </c>
      <c r="X50" s="373">
        <f t="shared" si="52"/>
        <v>34135.662400000001</v>
      </c>
      <c r="Y50" s="376">
        <f t="shared" si="104"/>
        <v>2304.1572120000001</v>
      </c>
      <c r="Z50" s="373">
        <f t="shared" si="54"/>
        <v>6171.0651450400001</v>
      </c>
      <c r="AA50" s="373">
        <f t="shared" si="55"/>
        <v>42669.578000000001</v>
      </c>
      <c r="AB50" s="376">
        <f t="shared" si="82"/>
        <v>2304.1572120000001</v>
      </c>
      <c r="AC50" s="373">
        <f t="shared" si="74"/>
        <v>6171.0651450400001</v>
      </c>
      <c r="AD50" s="373">
        <f t="shared" si="56"/>
        <v>51203.493600000002</v>
      </c>
      <c r="AE50" s="376">
        <f t="shared" si="93"/>
        <v>2304.1572120000001</v>
      </c>
      <c r="AF50" s="373">
        <f t="shared" si="76"/>
        <v>6171.0651450400001</v>
      </c>
      <c r="AG50" s="373">
        <f t="shared" si="57"/>
        <v>59737.409200000002</v>
      </c>
      <c r="AH50" s="376">
        <f t="shared" si="99"/>
        <v>2304.1572120000001</v>
      </c>
      <c r="AI50" s="373">
        <f t="shared" si="58"/>
        <v>6171.0651450400001</v>
      </c>
      <c r="AJ50" s="373">
        <f t="shared" si="59"/>
        <v>68271.324800000002</v>
      </c>
      <c r="AK50" s="376">
        <f t="shared" si="100"/>
        <v>2304.1572120000001</v>
      </c>
      <c r="AL50" s="373">
        <f t="shared" si="60"/>
        <v>6171.0651450400001</v>
      </c>
      <c r="AM50" s="373">
        <f t="shared" si="61"/>
        <v>76805.24040000001</v>
      </c>
      <c r="AN50" s="376">
        <f t="shared" si="105"/>
        <v>2304.1572120000001</v>
      </c>
      <c r="AO50" s="373">
        <f t="shared" si="62"/>
        <v>6171.0651450400001</v>
      </c>
      <c r="AP50" s="373">
        <f t="shared" si="63"/>
        <v>85339.156000000003</v>
      </c>
      <c r="AQ50" s="376">
        <f>H50*0.27</f>
        <v>2304.1572120000001</v>
      </c>
      <c r="AR50" s="373">
        <f t="shared" si="81"/>
        <v>6171.0651450400001</v>
      </c>
      <c r="AS50" s="373">
        <f t="shared" si="64"/>
        <v>93873.071599999996</v>
      </c>
      <c r="AT50" s="377">
        <f t="shared" ref="AT50:AT51" si="106">(AS50-88000)*0.35+(88000-AP50)*0.27</f>
        <v>2774.0029399999976</v>
      </c>
      <c r="AU50" s="373">
        <f t="shared" si="66"/>
        <v>5701.2194170400026</v>
      </c>
      <c r="AV50" s="373">
        <f t="shared" si="67"/>
        <v>102406.9872</v>
      </c>
      <c r="AW50" s="377">
        <f t="shared" ref="AW50:AW51" si="107">H50*0.35</f>
        <v>2986.8704600000001</v>
      </c>
      <c r="AX50" s="373">
        <f t="shared" si="69"/>
        <v>5488.35189704</v>
      </c>
      <c r="AY50" s="292"/>
      <c r="BA50" s="358"/>
    </row>
    <row r="51" spans="1:53" ht="28.5" x14ac:dyDescent="0.45">
      <c r="A51" s="718"/>
      <c r="B51" s="394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43"/>
        <v>10991.243999999999</v>
      </c>
      <c r="G51" s="233">
        <v>359</v>
      </c>
      <c r="H51" s="353">
        <f t="shared" si="70"/>
        <v>8533.9156000000003</v>
      </c>
      <c r="I51" s="363">
        <v>0.65</v>
      </c>
      <c r="J51" s="362">
        <v>3900</v>
      </c>
      <c r="K51" s="361">
        <f t="shared" si="12"/>
        <v>6322.5185637066688</v>
      </c>
      <c r="L51" s="390">
        <v>4007.2237019103995</v>
      </c>
      <c r="M51" s="390">
        <f t="shared" si="71"/>
        <v>2315.2948617962693</v>
      </c>
      <c r="N51" s="372">
        <f t="shared" si="13"/>
        <v>58.693242959999999</v>
      </c>
      <c r="O51" s="373">
        <f t="shared" si="44"/>
        <v>8533.9156000000003</v>
      </c>
      <c r="P51" s="378">
        <f t="shared" si="96"/>
        <v>1280.08734</v>
      </c>
      <c r="Q51" s="373">
        <f t="shared" si="46"/>
        <v>7195.1350170400001</v>
      </c>
      <c r="R51" s="373">
        <f t="shared" si="47"/>
        <v>17067.831200000001</v>
      </c>
      <c r="S51" s="374">
        <f t="shared" si="97"/>
        <v>1633.4789000000001</v>
      </c>
      <c r="T51" s="373">
        <f t="shared" si="48"/>
        <v>6841.7434570400001</v>
      </c>
      <c r="U51" s="373">
        <f t="shared" si="49"/>
        <v>25601.746800000001</v>
      </c>
      <c r="V51" s="376">
        <f t="shared" si="103"/>
        <v>1748.9053960000001</v>
      </c>
      <c r="W51" s="373">
        <f t="shared" si="51"/>
        <v>6726.31696104</v>
      </c>
      <c r="X51" s="373">
        <f t="shared" si="52"/>
        <v>34135.662400000001</v>
      </c>
      <c r="Y51" s="376">
        <f t="shared" si="104"/>
        <v>2304.1572120000001</v>
      </c>
      <c r="Z51" s="373">
        <f t="shared" si="54"/>
        <v>6171.0651450400001</v>
      </c>
      <c r="AA51" s="373">
        <f t="shared" si="55"/>
        <v>42669.578000000001</v>
      </c>
      <c r="AB51" s="376">
        <f t="shared" si="82"/>
        <v>2304.1572120000001</v>
      </c>
      <c r="AC51" s="373">
        <f t="shared" si="74"/>
        <v>6171.0651450400001</v>
      </c>
      <c r="AD51" s="373">
        <f t="shared" si="56"/>
        <v>51203.493600000002</v>
      </c>
      <c r="AE51" s="376">
        <f t="shared" si="93"/>
        <v>2304.1572120000001</v>
      </c>
      <c r="AF51" s="373">
        <f t="shared" si="76"/>
        <v>6171.0651450400001</v>
      </c>
      <c r="AG51" s="373">
        <f t="shared" si="57"/>
        <v>59737.409200000002</v>
      </c>
      <c r="AH51" s="376">
        <f t="shared" si="99"/>
        <v>2304.1572120000001</v>
      </c>
      <c r="AI51" s="373">
        <f t="shared" si="58"/>
        <v>6171.0651450400001</v>
      </c>
      <c r="AJ51" s="373">
        <f t="shared" si="59"/>
        <v>68271.324800000002</v>
      </c>
      <c r="AK51" s="376">
        <f t="shared" si="100"/>
        <v>2304.1572120000001</v>
      </c>
      <c r="AL51" s="373">
        <f t="shared" si="60"/>
        <v>6171.0651450400001</v>
      </c>
      <c r="AM51" s="373">
        <f t="shared" si="61"/>
        <v>76805.24040000001</v>
      </c>
      <c r="AN51" s="376">
        <f t="shared" si="105"/>
        <v>2304.1572120000001</v>
      </c>
      <c r="AO51" s="373">
        <f t="shared" si="62"/>
        <v>6171.0651450400001</v>
      </c>
      <c r="AP51" s="373">
        <f t="shared" si="63"/>
        <v>85339.156000000003</v>
      </c>
      <c r="AQ51" s="376">
        <f>H51*0.27</f>
        <v>2304.1572120000001</v>
      </c>
      <c r="AR51" s="373">
        <f t="shared" si="81"/>
        <v>6171.0651450400001</v>
      </c>
      <c r="AS51" s="373">
        <f t="shared" si="64"/>
        <v>93873.071599999996</v>
      </c>
      <c r="AT51" s="377">
        <f t="shared" si="106"/>
        <v>2774.0029399999976</v>
      </c>
      <c r="AU51" s="373">
        <f t="shared" si="66"/>
        <v>5701.2194170400026</v>
      </c>
      <c r="AV51" s="373">
        <f t="shared" si="67"/>
        <v>102406.9872</v>
      </c>
      <c r="AW51" s="377">
        <f t="shared" si="107"/>
        <v>2986.8704600000001</v>
      </c>
      <c r="AX51" s="373">
        <f t="shared" si="69"/>
        <v>5488.35189704</v>
      </c>
      <c r="AY51" s="292"/>
      <c r="BA51" s="358"/>
    </row>
    <row r="52" spans="1:53" ht="42" x14ac:dyDescent="0.45">
      <c r="A52" s="719"/>
      <c r="B52" s="392" t="s">
        <v>199</v>
      </c>
      <c r="C52" s="290">
        <v>125</v>
      </c>
      <c r="D52" s="238">
        <v>3331</v>
      </c>
      <c r="E52" s="238">
        <v>4163</v>
      </c>
      <c r="F52" s="238">
        <f t="shared" si="43"/>
        <v>7494</v>
      </c>
      <c r="G52" s="233">
        <v>359</v>
      </c>
      <c r="H52" s="353">
        <f t="shared" si="70"/>
        <v>5677.9500000000007</v>
      </c>
      <c r="I52" s="363">
        <v>0.65</v>
      </c>
      <c r="J52" s="362">
        <v>3800</v>
      </c>
      <c r="K52" s="361">
        <f t="shared" si="12"/>
        <v>4352.5596300000016</v>
      </c>
      <c r="L52" s="390">
        <v>3810.4870739999988</v>
      </c>
      <c r="M52" s="390">
        <f t="shared" si="71"/>
        <v>542.07255600000281</v>
      </c>
      <c r="N52" s="372">
        <f t="shared" si="13"/>
        <v>39.843870000000003</v>
      </c>
      <c r="O52" s="373">
        <f t="shared" si="44"/>
        <v>5677.9500000000007</v>
      </c>
      <c r="P52" s="378">
        <f t="shared" si="96"/>
        <v>851.69250000000011</v>
      </c>
      <c r="Q52" s="373">
        <f t="shared" si="46"/>
        <v>4786.4136300000009</v>
      </c>
      <c r="R52" s="373">
        <f t="shared" si="47"/>
        <v>11355.900000000001</v>
      </c>
      <c r="S52" s="374">
        <f>(R52-10000)*0.2+(10000-O52)*0.15</f>
        <v>919.48750000000018</v>
      </c>
      <c r="T52" s="373">
        <f t="shared" si="48"/>
        <v>4718.6186300000008</v>
      </c>
      <c r="U52" s="373">
        <f t="shared" si="49"/>
        <v>17033.850000000002</v>
      </c>
      <c r="V52" s="374">
        <f>H52*0.2</f>
        <v>1135.5900000000001</v>
      </c>
      <c r="W52" s="373">
        <f t="shared" si="51"/>
        <v>4502.5161300000009</v>
      </c>
      <c r="X52" s="373">
        <f t="shared" si="52"/>
        <v>22711.800000000003</v>
      </c>
      <c r="Y52" s="374">
        <f>H52*0.2</f>
        <v>1135.5900000000001</v>
      </c>
      <c r="Z52" s="373">
        <f t="shared" si="54"/>
        <v>4502.5161300000009</v>
      </c>
      <c r="AA52" s="373">
        <f t="shared" si="55"/>
        <v>28389.750000000004</v>
      </c>
      <c r="AB52" s="376">
        <f>(AA52-25000)*0.27+(25000-X52)*0.2</f>
        <v>1372.8725000000004</v>
      </c>
      <c r="AC52" s="373">
        <f t="shared" si="74"/>
        <v>4265.2336300000006</v>
      </c>
      <c r="AD52" s="373">
        <f t="shared" si="56"/>
        <v>34067.700000000004</v>
      </c>
      <c r="AE52" s="376">
        <f t="shared" si="93"/>
        <v>1533.0465000000004</v>
      </c>
      <c r="AF52" s="373">
        <f t="shared" si="76"/>
        <v>4105.0596300000007</v>
      </c>
      <c r="AG52" s="373">
        <f t="shared" si="57"/>
        <v>39745.650000000009</v>
      </c>
      <c r="AH52" s="376">
        <f t="shared" si="99"/>
        <v>1533.0465000000004</v>
      </c>
      <c r="AI52" s="373">
        <f t="shared" si="58"/>
        <v>4105.0596300000007</v>
      </c>
      <c r="AJ52" s="373">
        <f t="shared" si="59"/>
        <v>45423.600000000006</v>
      </c>
      <c r="AK52" s="376">
        <f t="shared" si="100"/>
        <v>1533.0465000000004</v>
      </c>
      <c r="AL52" s="373">
        <f t="shared" si="60"/>
        <v>4105.0596300000007</v>
      </c>
      <c r="AM52" s="373">
        <f t="shared" si="61"/>
        <v>51101.55</v>
      </c>
      <c r="AN52" s="376">
        <f t="shared" si="105"/>
        <v>1533.0465000000004</v>
      </c>
      <c r="AO52" s="373">
        <f t="shared" si="62"/>
        <v>4105.0596300000007</v>
      </c>
      <c r="AP52" s="373">
        <f t="shared" si="63"/>
        <v>56779.500000000007</v>
      </c>
      <c r="AQ52" s="376">
        <f>H52*0.27</f>
        <v>1533.0465000000004</v>
      </c>
      <c r="AR52" s="373">
        <f t="shared" si="81"/>
        <v>4105.0596300000007</v>
      </c>
      <c r="AS52" s="373">
        <f t="shared" si="64"/>
        <v>62457.450000000012</v>
      </c>
      <c r="AT52" s="376">
        <f>H52*0.27</f>
        <v>1533.0465000000004</v>
      </c>
      <c r="AU52" s="373">
        <f t="shared" si="66"/>
        <v>4105.0596300000007</v>
      </c>
      <c r="AV52" s="373">
        <f t="shared" si="67"/>
        <v>68135.400000000009</v>
      </c>
      <c r="AW52" s="376">
        <f>H52*0.27</f>
        <v>1533.0465000000004</v>
      </c>
      <c r="AX52" s="373">
        <f t="shared" si="69"/>
        <v>4105.0596300000007</v>
      </c>
      <c r="AY52" s="292"/>
      <c r="BA52" s="358"/>
    </row>
    <row r="53" spans="1:53" ht="33.75" hidden="1" customHeight="1" x14ac:dyDescent="0.45">
      <c r="A53" s="752" t="s">
        <v>173</v>
      </c>
      <c r="B53" s="753"/>
      <c r="C53" s="241">
        <v>125</v>
      </c>
      <c r="D53" s="234">
        <v>3330.68</v>
      </c>
      <c r="E53" s="234">
        <v>4163.3499999999995</v>
      </c>
      <c r="F53" s="234">
        <f t="shared" si="43"/>
        <v>7494.0299999999988</v>
      </c>
      <c r="G53" s="233">
        <v>278</v>
      </c>
      <c r="H53" s="353">
        <f t="shared" si="70"/>
        <v>5758.8575000000001</v>
      </c>
      <c r="I53" s="363">
        <v>0.65</v>
      </c>
      <c r="J53" s="362">
        <v>3023</v>
      </c>
      <c r="K53" s="361">
        <f t="shared" si="12"/>
        <v>4411.6227155000006</v>
      </c>
      <c r="L53" s="390">
        <v>3048.4967947859991</v>
      </c>
      <c r="M53" s="390">
        <f t="shared" si="71"/>
        <v>1363.1259207140015</v>
      </c>
      <c r="N53" s="372">
        <f t="shared" si="13"/>
        <v>39.843259500000002</v>
      </c>
      <c r="O53" s="373">
        <f t="shared" si="44"/>
        <v>5758.8575000000001</v>
      </c>
      <c r="P53" s="378">
        <f t="shared" si="96"/>
        <v>863.82862499999999</v>
      </c>
      <c r="Q53" s="373">
        <f t="shared" si="46"/>
        <v>4855.1856154999996</v>
      </c>
      <c r="R53" s="373">
        <f t="shared" si="47"/>
        <v>11517.715</v>
      </c>
      <c r="S53" s="374">
        <f>(R53-10000)*0.2+(10000-O53)*0.15</f>
        <v>939.71437500000002</v>
      </c>
      <c r="T53" s="373">
        <f t="shared" si="48"/>
        <v>4779.2998654999992</v>
      </c>
      <c r="U53" s="373">
        <f t="shared" si="49"/>
        <v>17276.572500000002</v>
      </c>
      <c r="V53" s="374">
        <f>H53*0.2</f>
        <v>1151.7715000000001</v>
      </c>
      <c r="W53" s="373">
        <f t="shared" si="51"/>
        <v>4567.2427404999999</v>
      </c>
      <c r="X53" s="373">
        <f t="shared" si="52"/>
        <v>23035.43</v>
      </c>
      <c r="Y53" s="374">
        <f t="shared" ref="Y53:Y54" si="108">H53*0.2</f>
        <v>1151.7715000000001</v>
      </c>
      <c r="Z53" s="373">
        <f t="shared" si="54"/>
        <v>4567.2427404999999</v>
      </c>
      <c r="AA53" s="373">
        <f t="shared" si="55"/>
        <v>28794.287499999999</v>
      </c>
      <c r="AB53" s="374">
        <f>H53*0.2</f>
        <v>1151.7715000000001</v>
      </c>
      <c r="AC53" s="373">
        <f t="shared" si="74"/>
        <v>4567.2427404999999</v>
      </c>
      <c r="AD53" s="373">
        <f t="shared" si="56"/>
        <v>34553.145000000004</v>
      </c>
      <c r="AE53" s="374">
        <f>H53*0.2</f>
        <v>1151.7715000000001</v>
      </c>
      <c r="AF53" s="373">
        <f t="shared" si="76"/>
        <v>4567.2427404999999</v>
      </c>
      <c r="AG53" s="373">
        <f t="shared" si="57"/>
        <v>40312.002500000002</v>
      </c>
      <c r="AH53" s="376">
        <f>(AG53-25000)*0.27+(25000-AD53)*0.2</f>
        <v>2223.6116750000001</v>
      </c>
      <c r="AI53" s="373">
        <f t="shared" si="58"/>
        <v>3495.4025654999996</v>
      </c>
      <c r="AJ53" s="373">
        <f t="shared" si="59"/>
        <v>46070.86</v>
      </c>
      <c r="AK53" s="376">
        <f t="shared" si="100"/>
        <v>1554.8915250000002</v>
      </c>
      <c r="AL53" s="373">
        <f t="shared" si="60"/>
        <v>4164.1227154999997</v>
      </c>
      <c r="AM53" s="373">
        <f t="shared" si="61"/>
        <v>51829.717499999999</v>
      </c>
      <c r="AN53" s="376">
        <f t="shared" si="105"/>
        <v>1554.8915250000002</v>
      </c>
      <c r="AO53" s="373">
        <f t="shared" si="62"/>
        <v>4164.1227154999997</v>
      </c>
      <c r="AP53" s="373">
        <f t="shared" si="63"/>
        <v>57588.574999999997</v>
      </c>
      <c r="AQ53" s="376">
        <f t="shared" ref="AQ53:AQ54" si="109">H53*0.27</f>
        <v>1554.8915250000002</v>
      </c>
      <c r="AR53" s="373">
        <f t="shared" si="81"/>
        <v>4164.1227154999997</v>
      </c>
      <c r="AS53" s="373">
        <f t="shared" si="64"/>
        <v>63347.432500000003</v>
      </c>
      <c r="AT53" s="376">
        <f t="shared" ref="AT53:AT54" si="110">H53*0.27</f>
        <v>1554.8915250000002</v>
      </c>
      <c r="AU53" s="373">
        <f t="shared" si="66"/>
        <v>4164.1227154999997</v>
      </c>
      <c r="AV53" s="373">
        <f t="shared" si="67"/>
        <v>69106.290000000008</v>
      </c>
      <c r="AW53" s="376">
        <f>H53*0.27</f>
        <v>1554.8915250000002</v>
      </c>
      <c r="AX53" s="373">
        <f t="shared" si="69"/>
        <v>4164.1227154999997</v>
      </c>
      <c r="AY53" s="292"/>
      <c r="BA53" s="358"/>
    </row>
    <row r="54" spans="1:53" ht="29.25" hidden="1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43"/>
        <v>4996.01</v>
      </c>
      <c r="G54" s="233">
        <v>278</v>
      </c>
      <c r="H54" s="353">
        <f t="shared" si="70"/>
        <v>3843.71</v>
      </c>
      <c r="I54" s="363">
        <v>0.65</v>
      </c>
      <c r="J54" s="362">
        <v>2822</v>
      </c>
      <c r="K54" s="361">
        <f t="shared" si="12"/>
        <v>3026.2050139999997</v>
      </c>
      <c r="L54" s="390">
        <v>2921.7573390399998</v>
      </c>
      <c r="M54" s="390">
        <f t="shared" si="71"/>
        <v>104.44767495999986</v>
      </c>
      <c r="N54" s="372">
        <f t="shared" si="13"/>
        <v>27.203285999999999</v>
      </c>
      <c r="O54" s="373">
        <f t="shared" si="44"/>
        <v>3843.71</v>
      </c>
      <c r="P54" s="378">
        <f t="shared" si="96"/>
        <v>576.55650000000003</v>
      </c>
      <c r="Q54" s="373">
        <f t="shared" si="46"/>
        <v>3239.950214</v>
      </c>
      <c r="R54" s="373">
        <f t="shared" si="47"/>
        <v>7687.42</v>
      </c>
      <c r="S54" s="378">
        <f>H54*0.15</f>
        <v>576.55650000000003</v>
      </c>
      <c r="T54" s="373">
        <f t="shared" si="48"/>
        <v>3239.950214</v>
      </c>
      <c r="U54" s="373">
        <f t="shared" si="49"/>
        <v>11531.130000000001</v>
      </c>
      <c r="V54" s="374">
        <f>(U54-10000)*0.2+(10000-R54)*0.15</f>
        <v>653.11300000000028</v>
      </c>
      <c r="W54" s="373">
        <f t="shared" si="51"/>
        <v>3163.3937139999998</v>
      </c>
      <c r="X54" s="373">
        <f t="shared" si="52"/>
        <v>15374.84</v>
      </c>
      <c r="Y54" s="374">
        <f t="shared" si="108"/>
        <v>768.74200000000008</v>
      </c>
      <c r="Z54" s="373">
        <f t="shared" si="54"/>
        <v>3047.7647139999999</v>
      </c>
      <c r="AA54" s="373">
        <f t="shared" si="55"/>
        <v>19218.55</v>
      </c>
      <c r="AB54" s="374">
        <f>H54*0.2</f>
        <v>768.74200000000008</v>
      </c>
      <c r="AC54" s="373">
        <f t="shared" si="74"/>
        <v>3047.7647139999999</v>
      </c>
      <c r="AD54" s="373">
        <f t="shared" si="56"/>
        <v>23062.260000000002</v>
      </c>
      <c r="AE54" s="374">
        <f>H54*0.2</f>
        <v>768.74200000000008</v>
      </c>
      <c r="AF54" s="373">
        <f t="shared" si="76"/>
        <v>3047.7647139999999</v>
      </c>
      <c r="AG54" s="373">
        <f t="shared" si="57"/>
        <v>26905.97</v>
      </c>
      <c r="AH54" s="376">
        <f>(AG54-25000)*0.27+(25000-AD54)*0.2</f>
        <v>902.15989999999988</v>
      </c>
      <c r="AI54" s="373">
        <f t="shared" si="58"/>
        <v>2914.3468140000004</v>
      </c>
      <c r="AJ54" s="373">
        <f t="shared" si="59"/>
        <v>30749.68</v>
      </c>
      <c r="AK54" s="376">
        <f t="shared" si="100"/>
        <v>1037.8017</v>
      </c>
      <c r="AL54" s="373">
        <f t="shared" si="60"/>
        <v>2778.7050140000001</v>
      </c>
      <c r="AM54" s="373">
        <f t="shared" si="61"/>
        <v>34593.39</v>
      </c>
      <c r="AN54" s="376">
        <f t="shared" si="105"/>
        <v>1037.8017</v>
      </c>
      <c r="AO54" s="373">
        <f t="shared" si="62"/>
        <v>2778.7050140000001</v>
      </c>
      <c r="AP54" s="373">
        <f t="shared" si="63"/>
        <v>38437.1</v>
      </c>
      <c r="AQ54" s="376">
        <f t="shared" si="109"/>
        <v>1037.8017</v>
      </c>
      <c r="AR54" s="373">
        <f t="shared" si="81"/>
        <v>2778.7050140000001</v>
      </c>
      <c r="AS54" s="373">
        <f t="shared" si="64"/>
        <v>42280.81</v>
      </c>
      <c r="AT54" s="376">
        <f t="shared" si="110"/>
        <v>1037.8017</v>
      </c>
      <c r="AU54" s="373">
        <f t="shared" si="66"/>
        <v>2778.7050140000001</v>
      </c>
      <c r="AV54" s="373">
        <f t="shared" si="67"/>
        <v>46124.520000000004</v>
      </c>
      <c r="AW54" s="376">
        <f>H54*0.27</f>
        <v>1037.8017</v>
      </c>
      <c r="AX54" s="373">
        <f t="shared" si="69"/>
        <v>2778.7050140000001</v>
      </c>
      <c r="AY54" s="292"/>
      <c r="BA54" s="358"/>
    </row>
    <row r="55" spans="1:53" x14ac:dyDescent="0.35">
      <c r="AN55" s="379"/>
    </row>
  </sheetData>
  <mergeCells count="11">
    <mergeCell ref="A30:A38"/>
    <mergeCell ref="A39:A46"/>
    <mergeCell ref="A47:A52"/>
    <mergeCell ref="A53:B53"/>
    <mergeCell ref="A54:B54"/>
    <mergeCell ref="A28:B28"/>
    <mergeCell ref="A1:F1"/>
    <mergeCell ref="A4:B4"/>
    <mergeCell ref="A6:A14"/>
    <mergeCell ref="A15:A23"/>
    <mergeCell ref="A24:A2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"/>
  <sheetViews>
    <sheetView topLeftCell="A4" zoomScale="90" zoomScaleNormal="90" workbookViewId="0">
      <pane ySplit="25" topLeftCell="A35" activePane="bottomLeft" state="frozen"/>
      <selection activeCell="A4" sqref="A4"/>
      <selection pane="bottomLeft" activeCell="AJ42" sqref="AJ42"/>
    </sheetView>
  </sheetViews>
  <sheetFormatPr defaultRowHeight="21" x14ac:dyDescent="0.35"/>
  <cols>
    <col min="1" max="1" width="6.7109375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3.5703125" customWidth="1"/>
    <col min="10" max="10" width="24.42578125" customWidth="1"/>
    <col min="11" max="12" width="22.85546875" customWidth="1"/>
    <col min="13" max="13" width="26" customWidth="1"/>
    <col min="14" max="14" width="13.28515625" style="130" customWidth="1"/>
    <col min="15" max="15" width="16.140625" style="130" bestFit="1" customWidth="1"/>
    <col min="16" max="16" width="14.140625" style="130" bestFit="1" customWidth="1"/>
    <col min="17" max="18" width="16.140625" style="130" bestFit="1" customWidth="1"/>
    <col min="19" max="19" width="14.140625" style="130" bestFit="1" customWidth="1"/>
    <col min="20" max="21" width="16.140625" style="130" bestFit="1" customWidth="1"/>
    <col min="22" max="22" width="14.140625" style="130" bestFit="1" customWidth="1"/>
    <col min="23" max="24" width="16.140625" style="130" bestFit="1" customWidth="1"/>
    <col min="25" max="25" width="14.140625" style="130" bestFit="1" customWidth="1"/>
    <col min="26" max="27" width="16.140625" style="130" bestFit="1" customWidth="1"/>
    <col min="28" max="28" width="14.140625" style="130" bestFit="1" customWidth="1"/>
    <col min="29" max="29" width="16.140625" style="130" bestFit="1" customWidth="1"/>
    <col min="30" max="30" width="17.7109375" style="130" bestFit="1" customWidth="1"/>
    <col min="31" max="31" width="14.140625" style="130" bestFit="1" customWidth="1"/>
    <col min="32" max="32" width="16.140625" style="130" bestFit="1" customWidth="1"/>
    <col min="33" max="33" width="17.7109375" style="130" bestFit="1" customWidth="1"/>
    <col min="34" max="34" width="14.140625" style="130" bestFit="1" customWidth="1"/>
    <col min="35" max="35" width="16.140625" style="130" bestFit="1" customWidth="1"/>
    <col min="36" max="36" width="17.7109375" style="130" bestFit="1" customWidth="1"/>
    <col min="37" max="37" width="15.85546875" style="130" customWidth="1"/>
    <col min="38" max="38" width="16.140625" style="130" bestFit="1" customWidth="1"/>
    <col min="39" max="39" width="17.7109375" style="130" bestFit="1" customWidth="1"/>
    <col min="40" max="40" width="14.140625" style="130" bestFit="1" customWidth="1"/>
    <col min="41" max="41" width="16.140625" style="130" bestFit="1" customWidth="1"/>
    <col min="42" max="42" width="17.7109375" style="130" bestFit="1" customWidth="1"/>
    <col min="43" max="43" width="15.7109375" style="130" customWidth="1"/>
    <col min="44" max="44" width="16.140625" style="130" bestFit="1" customWidth="1"/>
    <col min="45" max="45" width="17.7109375" style="130" bestFit="1" customWidth="1"/>
    <col min="46" max="46" width="14.140625" style="130" bestFit="1" customWidth="1"/>
    <col min="47" max="47" width="16.140625" style="130" bestFit="1" customWidth="1"/>
    <col min="48" max="48" width="17.7109375" style="130" bestFit="1" customWidth="1"/>
    <col min="49" max="49" width="14.140625" style="130" bestFit="1" customWidth="1"/>
    <col min="50" max="50" width="16.140625" style="130" bestFit="1" customWidth="1"/>
    <col min="53" max="53" width="17.85546875" bestFit="1" customWidth="1"/>
  </cols>
  <sheetData>
    <row r="1" spans="1:53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3" ht="24" hidden="1" thickBot="1" x14ac:dyDescent="0.4">
      <c r="A2" s="192"/>
      <c r="B2" s="2"/>
      <c r="C2" s="2"/>
      <c r="D2" s="2"/>
      <c r="E2" s="2"/>
      <c r="F2" s="2"/>
      <c r="K2" s="385"/>
      <c r="L2" s="385"/>
      <c r="M2" s="385"/>
    </row>
    <row r="3" spans="1:53" ht="27" hidden="1" thickBot="1" x14ac:dyDescent="0.4">
      <c r="A3" s="236" t="s">
        <v>1</v>
      </c>
      <c r="B3" s="4"/>
      <c r="C3" s="4"/>
      <c r="D3" s="4"/>
      <c r="E3" s="4"/>
      <c r="F3" s="4"/>
    </row>
    <row r="4" spans="1:53" ht="65.25" customHeight="1" x14ac:dyDescent="0.25">
      <c r="A4" s="726" t="s">
        <v>2</v>
      </c>
      <c r="B4" s="726"/>
      <c r="C4" s="462" t="s">
        <v>3</v>
      </c>
      <c r="D4" s="462" t="s">
        <v>229</v>
      </c>
      <c r="E4" s="462" t="s">
        <v>253</v>
      </c>
      <c r="F4" s="462" t="s">
        <v>231</v>
      </c>
      <c r="G4" s="395" t="s">
        <v>244</v>
      </c>
      <c r="H4" s="395" t="s">
        <v>249</v>
      </c>
      <c r="I4" s="352" t="s">
        <v>37</v>
      </c>
      <c r="J4" s="364" t="s">
        <v>279</v>
      </c>
      <c r="K4" s="364" t="s">
        <v>290</v>
      </c>
      <c r="L4" s="389" t="s">
        <v>289</v>
      </c>
      <c r="M4" s="476" t="s">
        <v>288</v>
      </c>
      <c r="N4" s="365" t="s">
        <v>245</v>
      </c>
      <c r="O4" s="365">
        <v>1</v>
      </c>
      <c r="P4" s="365" t="s">
        <v>255</v>
      </c>
      <c r="Q4" s="365" t="s">
        <v>267</v>
      </c>
      <c r="R4" s="365">
        <v>2</v>
      </c>
      <c r="S4" s="365" t="s">
        <v>256</v>
      </c>
      <c r="T4" s="365" t="s">
        <v>268</v>
      </c>
      <c r="U4" s="365">
        <v>3</v>
      </c>
      <c r="V4" s="365" t="s">
        <v>257</v>
      </c>
      <c r="W4" s="365" t="s">
        <v>278</v>
      </c>
      <c r="X4" s="365">
        <v>4</v>
      </c>
      <c r="Y4" s="365" t="s">
        <v>258</v>
      </c>
      <c r="Z4" s="365" t="s">
        <v>277</v>
      </c>
      <c r="AA4" s="365">
        <v>5</v>
      </c>
      <c r="AB4" s="365" t="s">
        <v>259</v>
      </c>
      <c r="AC4" s="365" t="s">
        <v>276</v>
      </c>
      <c r="AD4" s="365">
        <v>6</v>
      </c>
      <c r="AE4" s="365" t="s">
        <v>260</v>
      </c>
      <c r="AF4" s="365" t="s">
        <v>275</v>
      </c>
      <c r="AG4" s="365">
        <v>7</v>
      </c>
      <c r="AH4" s="365" t="s">
        <v>261</v>
      </c>
      <c r="AI4" s="365" t="s">
        <v>274</v>
      </c>
      <c r="AJ4" s="365">
        <v>8</v>
      </c>
      <c r="AK4" s="365" t="s">
        <v>262</v>
      </c>
      <c r="AL4" s="365" t="s">
        <v>273</v>
      </c>
      <c r="AM4" s="365">
        <v>9</v>
      </c>
      <c r="AN4" s="365" t="s">
        <v>263</v>
      </c>
      <c r="AO4" s="365" t="s">
        <v>272</v>
      </c>
      <c r="AP4" s="365">
        <v>10</v>
      </c>
      <c r="AQ4" s="365" t="s">
        <v>264</v>
      </c>
      <c r="AR4" s="365" t="s">
        <v>271</v>
      </c>
      <c r="AS4" s="365">
        <v>11</v>
      </c>
      <c r="AT4" s="365" t="s">
        <v>265</v>
      </c>
      <c r="AU4" s="365" t="s">
        <v>270</v>
      </c>
      <c r="AV4" s="365">
        <v>12</v>
      </c>
      <c r="AW4" s="366" t="s">
        <v>266</v>
      </c>
      <c r="AX4" s="366" t="s">
        <v>269</v>
      </c>
    </row>
    <row r="5" spans="1:53" s="233" customFormat="1" ht="33.75" hidden="1" customHeight="1" x14ac:dyDescent="0.45">
      <c r="A5" s="229"/>
      <c r="B5" s="346"/>
      <c r="C5" s="231"/>
      <c r="D5" s="231"/>
      <c r="E5" s="231"/>
      <c r="F5" s="231"/>
      <c r="H5" s="357">
        <v>0.93</v>
      </c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1"/>
    </row>
    <row r="6" spans="1:53" s="233" customFormat="1" ht="30" hidden="1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18227.499739999999</v>
      </c>
      <c r="I6" s="463">
        <v>0.7</v>
      </c>
      <c r="J6" s="362">
        <v>12600</v>
      </c>
      <c r="K6" s="361">
        <f>((Q6+T6+W6+Z6+AC6+AF6+AI6+AL6+AO6+AR6+AU6+AX6)/12)+60</f>
        <v>12559.370599382668</v>
      </c>
      <c r="L6" s="390"/>
      <c r="M6" s="390">
        <f t="shared" ref="M6:M28" si="0">K6/0.93</f>
        <v>13504.699569228675</v>
      </c>
      <c r="N6" s="372">
        <f>(H6+G6)*0.0066</f>
        <v>122.67089828399999</v>
      </c>
      <c r="O6" s="373">
        <f>$H6*O$4</f>
        <v>18227.499739999999</v>
      </c>
      <c r="P6" s="374">
        <f>(O6-10000)*0.2+10000*0.15</f>
        <v>3145.4999479999997</v>
      </c>
      <c r="Q6" s="373">
        <f>H6-N6-P6</f>
        <v>14959.328893716</v>
      </c>
      <c r="R6" s="373">
        <f>$H6*2</f>
        <v>36454.999479999999</v>
      </c>
      <c r="S6" s="376">
        <f>(R6-25000)*0.27+4500-P6</f>
        <v>4447.3499116000003</v>
      </c>
      <c r="T6" s="373">
        <f>H6-N6-S6</f>
        <v>13657.478930116</v>
      </c>
      <c r="U6" s="373">
        <f t="shared" ref="U6:U28" si="1">H6*3</f>
        <v>54682.499219999998</v>
      </c>
      <c r="V6" s="376">
        <f>O6*0.27</f>
        <v>4921.4249298000004</v>
      </c>
      <c r="W6" s="373">
        <f>H6-N6-V6</f>
        <v>13183.403911916001</v>
      </c>
      <c r="X6" s="373">
        <f t="shared" ref="X6:X28" si="2">H6*4</f>
        <v>72909.998959999997</v>
      </c>
      <c r="Y6" s="376">
        <f t="shared" ref="Y6:Y22" si="3">H6*0.27</f>
        <v>4921.4249298000004</v>
      </c>
      <c r="Z6" s="373">
        <f>H6-N6-Y6</f>
        <v>13183.403911916001</v>
      </c>
      <c r="AA6" s="373">
        <f t="shared" ref="AA6:AA28" si="4">H6*5</f>
        <v>91137.498699999996</v>
      </c>
      <c r="AB6" s="377">
        <f>(AA6-88000)*0.35+(88000-X6)*0.27</f>
        <v>5172.4248257999998</v>
      </c>
      <c r="AC6" s="373">
        <f>H6-N6-AB6</f>
        <v>12932.404015915999</v>
      </c>
      <c r="AD6" s="373">
        <f t="shared" ref="AD6:AD28" si="5">H6*6</f>
        <v>109364.99844</v>
      </c>
      <c r="AE6" s="377">
        <f>$H$6*0.35</f>
        <v>6379.6249089999992</v>
      </c>
      <c r="AF6" s="373">
        <f>H6-N6-AE6</f>
        <v>11725.203932716002</v>
      </c>
      <c r="AG6" s="373">
        <f t="shared" ref="AG6:AG28" si="6">H6*7</f>
        <v>127592.49818</v>
      </c>
      <c r="AH6" s="377">
        <f>$H$6*0.35</f>
        <v>6379.6249089999992</v>
      </c>
      <c r="AI6" s="373">
        <f>H6-N6-AH6</f>
        <v>11725.203932716002</v>
      </c>
      <c r="AJ6" s="373">
        <f t="shared" ref="AJ6:AJ28" si="7">H6*8</f>
        <v>145819.99791999999</v>
      </c>
      <c r="AK6" s="377">
        <f>$H$6*0.35</f>
        <v>6379.6249089999992</v>
      </c>
      <c r="AL6" s="373">
        <f>H6-N6-AK6</f>
        <v>11725.203932716002</v>
      </c>
      <c r="AM6" s="373">
        <f t="shared" ref="AM6:AM28" si="8">H6*9</f>
        <v>164047.49765999999</v>
      </c>
      <c r="AN6" s="377">
        <f>$H$6*0.35</f>
        <v>6379.6249089999992</v>
      </c>
      <c r="AO6" s="373">
        <f>H6-N6-AN6</f>
        <v>11725.203932716002</v>
      </c>
      <c r="AP6" s="373">
        <f t="shared" ref="AP6:AP28" si="9">H6*10</f>
        <v>182274.99739999999</v>
      </c>
      <c r="AQ6" s="377">
        <f>$H$6*0.35</f>
        <v>6379.6249089999992</v>
      </c>
      <c r="AR6" s="373">
        <f>H6-N6-AQ6</f>
        <v>11725.203932716002</v>
      </c>
      <c r="AS6" s="373">
        <f t="shared" ref="AS6:AS28" si="10">H6*11</f>
        <v>200502.49713999999</v>
      </c>
      <c r="AT6" s="377">
        <f>$H$6*0.35</f>
        <v>6379.6249089999992</v>
      </c>
      <c r="AU6" s="373">
        <f>AR6</f>
        <v>11725.203932716002</v>
      </c>
      <c r="AV6" s="373">
        <f t="shared" ref="AV6:AV28" si="11">H6*12</f>
        <v>218729.99687999999</v>
      </c>
      <c r="AW6" s="377">
        <f>$H$6*0.35</f>
        <v>6379.6249089999992</v>
      </c>
      <c r="AX6" s="373">
        <f>H6-N6-AW6</f>
        <v>11725.203932716002</v>
      </c>
      <c r="AY6" s="371"/>
      <c r="BA6" s="358"/>
    </row>
    <row r="7" spans="1:53" s="233" customFormat="1" ht="30" hidden="1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11924.021305999999</v>
      </c>
      <c r="I7" s="363">
        <v>0.33</v>
      </c>
      <c r="J7" s="362">
        <v>8500</v>
      </c>
      <c r="K7" s="361">
        <f t="shared" ref="K7:K54" si="12">((Q7+T7+W7+Z7+AC7+AF7+AI7+AL7+AO7+AR7+AU7+AX7)/12)+60</f>
        <v>8503.712574947067</v>
      </c>
      <c r="L7" s="390"/>
      <c r="M7" s="390">
        <f t="shared" si="0"/>
        <v>9143.7769623086733</v>
      </c>
      <c r="N7" s="372">
        <f t="shared" ref="N7:N54" si="13">(H7+G7)*0.0066</f>
        <v>81.067940619599995</v>
      </c>
      <c r="O7" s="373">
        <f t="shared" ref="O7:O28" si="14">$H7*O$4</f>
        <v>11924.021305999999</v>
      </c>
      <c r="P7" s="374">
        <f>(O7-10000)*0.2+1500</f>
        <v>1884.8042611999997</v>
      </c>
      <c r="Q7" s="373">
        <f>H7-N7-P7</f>
        <v>9958.1491041804002</v>
      </c>
      <c r="R7" s="373">
        <f t="shared" ref="R7:R28" si="15">$H7*2</f>
        <v>23848.042611999997</v>
      </c>
      <c r="S7" s="374">
        <f>H7*0.2</f>
        <v>2384.8042611999999</v>
      </c>
      <c r="T7" s="373">
        <f>H7-N7-S7</f>
        <v>9458.1491041804002</v>
      </c>
      <c r="U7" s="373">
        <f t="shared" si="1"/>
        <v>35772.063918</v>
      </c>
      <c r="V7" s="376">
        <f>(25000-R7)*0.2+(U7-25000)*0.27</f>
        <v>3138.8487354600006</v>
      </c>
      <c r="W7" s="373">
        <f t="shared" ref="W7:W28" si="16">H7-N7-V7</f>
        <v>8704.104629920399</v>
      </c>
      <c r="X7" s="373">
        <f t="shared" si="2"/>
        <v>47696.085223999995</v>
      </c>
      <c r="Y7" s="376">
        <f t="shared" si="3"/>
        <v>3219.4857526199999</v>
      </c>
      <c r="Z7" s="373">
        <f>H7-N7-Y7</f>
        <v>8623.4676127603998</v>
      </c>
      <c r="AA7" s="373">
        <f t="shared" si="4"/>
        <v>59620.10652999999</v>
      </c>
      <c r="AB7" s="376">
        <f t="shared" ref="AB7:AB24" si="17">H7*0.27</f>
        <v>3219.4857526199999</v>
      </c>
      <c r="AC7" s="373">
        <f t="shared" ref="AC7:AC28" si="18">H7-N7-AB7</f>
        <v>8623.4676127603998</v>
      </c>
      <c r="AD7" s="373">
        <f t="shared" si="5"/>
        <v>71544.127836</v>
      </c>
      <c r="AE7" s="376">
        <f t="shared" ref="AE7:AE14" si="19">H7*0.27</f>
        <v>3219.4857526199999</v>
      </c>
      <c r="AF7" s="373">
        <f t="shared" ref="AF7:AF28" si="20">H7-N7-AE7</f>
        <v>8623.4676127603998</v>
      </c>
      <c r="AG7" s="373">
        <f t="shared" si="6"/>
        <v>83468.149141999995</v>
      </c>
      <c r="AH7" s="376">
        <f>H7*0.27</f>
        <v>3219.4857526199999</v>
      </c>
      <c r="AI7" s="373">
        <f t="shared" ref="AI7:AI28" si="21">H7-N7-AH7</f>
        <v>8623.4676127603998</v>
      </c>
      <c r="AJ7" s="373">
        <f t="shared" si="7"/>
        <v>95392.17044799999</v>
      </c>
      <c r="AK7" s="377">
        <f>(AJ7-88000)*0.35+(88000-AG7)*0.27</f>
        <v>3810.8593884599977</v>
      </c>
      <c r="AL7" s="373">
        <f t="shared" ref="AL7:AL28" si="22">H7-N7-AK7</f>
        <v>8032.0939769204015</v>
      </c>
      <c r="AM7" s="373">
        <f t="shared" si="8"/>
        <v>107316.19175399998</v>
      </c>
      <c r="AN7" s="377">
        <f>H7*0.35</f>
        <v>4173.4074570999992</v>
      </c>
      <c r="AO7" s="373">
        <f t="shared" ref="AO7:AO28" si="23">H7-N7-AN7</f>
        <v>7669.5459082804</v>
      </c>
      <c r="AP7" s="373">
        <f t="shared" si="9"/>
        <v>119240.21305999998</v>
      </c>
      <c r="AQ7" s="377">
        <f t="shared" ref="AQ7:AQ12" si="24">H7*0.35</f>
        <v>4173.4074570999992</v>
      </c>
      <c r="AR7" s="373">
        <f t="shared" ref="AR7:AR28" si="25">H7-N7-AQ7</f>
        <v>7669.5459082804</v>
      </c>
      <c r="AS7" s="373">
        <f t="shared" si="10"/>
        <v>131164.23436599999</v>
      </c>
      <c r="AT7" s="377">
        <f t="shared" ref="AT7:AT22" si="26">H7*0.35</f>
        <v>4173.4074570999992</v>
      </c>
      <c r="AU7" s="373">
        <f>$H$7-$N$7-AT7</f>
        <v>7669.5459082804</v>
      </c>
      <c r="AV7" s="373">
        <f t="shared" si="11"/>
        <v>143088.255672</v>
      </c>
      <c r="AW7" s="377">
        <f t="shared" ref="AW7" si="27">AT7</f>
        <v>4173.4074570999992</v>
      </c>
      <c r="AX7" s="373">
        <f t="shared" ref="AX7:AX28" si="28">H7-N7-AW7</f>
        <v>7669.5459082804</v>
      </c>
      <c r="AY7" s="371"/>
      <c r="BA7" s="358"/>
    </row>
    <row r="8" spans="1:53" s="233" customFormat="1" ht="30" hidden="1" customHeight="1" x14ac:dyDescent="0.45">
      <c r="A8" s="728"/>
      <c r="B8" s="461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29">D8+E8*$H$5*$I8-G8</f>
        <v>9709.2856400000001</v>
      </c>
      <c r="I8" s="363">
        <v>0.2</v>
      </c>
      <c r="J8" s="362">
        <v>7066</v>
      </c>
      <c r="K8" s="361">
        <f t="shared" si="12"/>
        <v>7078.7516474426657</v>
      </c>
      <c r="L8" s="390"/>
      <c r="M8" s="390">
        <f t="shared" si="0"/>
        <v>7611.560911228672</v>
      </c>
      <c r="N8" s="372">
        <f t="shared" si="13"/>
        <v>66.450685223999997</v>
      </c>
      <c r="O8" s="373">
        <f t="shared" si="14"/>
        <v>9709.2856400000001</v>
      </c>
      <c r="P8" s="378">
        <f>H8*0.15</f>
        <v>1456.392846</v>
      </c>
      <c r="Q8" s="373">
        <f>$H$8-$N$8-P8</f>
        <v>8186.4421087760011</v>
      </c>
      <c r="R8" s="373">
        <f t="shared" si="15"/>
        <v>19418.57128</v>
      </c>
      <c r="S8" s="374">
        <f t="shared" ref="S8" si="30">(R8-10000)*0.2+(10000-O8)*0.15</f>
        <v>1927.3214100000002</v>
      </c>
      <c r="T8" s="373">
        <f>$H$8-$N$8-S8</f>
        <v>7715.5135447760003</v>
      </c>
      <c r="U8" s="373">
        <f t="shared" si="1"/>
        <v>29127.856919999998</v>
      </c>
      <c r="V8" s="376">
        <f>(U8-25000)*0.27+(25000-R8)*0.2</f>
        <v>2230.8071123999998</v>
      </c>
      <c r="W8" s="373">
        <f t="shared" si="16"/>
        <v>7412.027842376001</v>
      </c>
      <c r="X8" s="373">
        <f t="shared" si="2"/>
        <v>38837.14256</v>
      </c>
      <c r="Y8" s="376">
        <f t="shared" si="3"/>
        <v>2621.5071228000002</v>
      </c>
      <c r="Z8" s="373">
        <f>$H$8-$N$8-Y8</f>
        <v>7021.3278319760011</v>
      </c>
      <c r="AA8" s="373">
        <f t="shared" si="4"/>
        <v>48546.428200000002</v>
      </c>
      <c r="AB8" s="376">
        <f t="shared" si="17"/>
        <v>2621.5071228000002</v>
      </c>
      <c r="AC8" s="373">
        <f t="shared" si="18"/>
        <v>7021.3278319760011</v>
      </c>
      <c r="AD8" s="373">
        <f t="shared" si="5"/>
        <v>58255.713839999997</v>
      </c>
      <c r="AE8" s="376">
        <f t="shared" si="19"/>
        <v>2621.5071228000002</v>
      </c>
      <c r="AF8" s="373">
        <f t="shared" si="20"/>
        <v>7021.3278319760011</v>
      </c>
      <c r="AG8" s="373">
        <f t="shared" si="6"/>
        <v>67964.999479999999</v>
      </c>
      <c r="AH8" s="376">
        <f>H8*0.27</f>
        <v>2621.5071228000002</v>
      </c>
      <c r="AI8" s="373">
        <f t="shared" si="21"/>
        <v>7021.3278319760011</v>
      </c>
      <c r="AJ8" s="373">
        <f t="shared" si="7"/>
        <v>77674.28512</v>
      </c>
      <c r="AK8" s="376">
        <f>H8*0.27</f>
        <v>2621.5071228000002</v>
      </c>
      <c r="AL8" s="373">
        <f t="shared" si="22"/>
        <v>7021.3278319760011</v>
      </c>
      <c r="AM8" s="373">
        <f t="shared" si="8"/>
        <v>87383.570760000002</v>
      </c>
      <c r="AN8" s="377">
        <f>(AM8-88000)*0.35+(88000-AJ8)*0.27</f>
        <v>2572.1927836000009</v>
      </c>
      <c r="AO8" s="373">
        <f t="shared" si="23"/>
        <v>7070.6421711759995</v>
      </c>
      <c r="AP8" s="373">
        <f t="shared" si="9"/>
        <v>97092.856400000004</v>
      </c>
      <c r="AQ8" s="377">
        <f t="shared" si="24"/>
        <v>3398.2499739999998</v>
      </c>
      <c r="AR8" s="373">
        <f t="shared" si="25"/>
        <v>6244.5849807760005</v>
      </c>
      <c r="AS8" s="373">
        <f t="shared" si="10"/>
        <v>106802.14204000001</v>
      </c>
      <c r="AT8" s="377">
        <f t="shared" si="26"/>
        <v>3398.2499739999998</v>
      </c>
      <c r="AU8" s="373">
        <f>$H$8-$N$8-AT8</f>
        <v>6244.5849807760005</v>
      </c>
      <c r="AV8" s="373">
        <f t="shared" si="11"/>
        <v>116511.42767999999</v>
      </c>
      <c r="AW8" s="377">
        <f t="shared" ref="AW8:AW22" si="31">H8*0.35</f>
        <v>3398.2499739999998</v>
      </c>
      <c r="AX8" s="373">
        <f t="shared" si="28"/>
        <v>6244.5849807760005</v>
      </c>
      <c r="AY8" s="371"/>
      <c r="BA8" s="358"/>
    </row>
    <row r="9" spans="1:53" s="233" customFormat="1" ht="30" hidden="1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32">D9+E9</f>
        <v>19983.72</v>
      </c>
      <c r="G9" s="233">
        <v>359</v>
      </c>
      <c r="H9" s="353">
        <f t="shared" si="29"/>
        <v>14107.781648</v>
      </c>
      <c r="I9" s="363">
        <v>0.63</v>
      </c>
      <c r="J9" s="362">
        <v>9900</v>
      </c>
      <c r="K9" s="361">
        <f t="shared" si="12"/>
        <v>9908.743978989869</v>
      </c>
      <c r="L9" s="390"/>
      <c r="M9" s="390">
        <f t="shared" si="0"/>
        <v>10654.563418268675</v>
      </c>
      <c r="N9" s="372">
        <f t="shared" si="13"/>
        <v>95.480758876799996</v>
      </c>
      <c r="O9" s="373">
        <f t="shared" si="14"/>
        <v>14107.781648</v>
      </c>
      <c r="P9" s="374">
        <f t="shared" ref="P9:P20" si="33">(O9-10000)*0.2+10000*0.15</f>
        <v>2321.5563296</v>
      </c>
      <c r="Q9" s="373">
        <f>H9-P9-N9</f>
        <v>11690.7445595232</v>
      </c>
      <c r="R9" s="373">
        <f t="shared" si="15"/>
        <v>28215.563296</v>
      </c>
      <c r="S9" s="376">
        <f>(R9-25000)*0.27+(25000-O9)*0.2</f>
        <v>3046.6457603200001</v>
      </c>
      <c r="T9" s="373">
        <f>$H$9-$N$9-S9</f>
        <v>10965.655128803201</v>
      </c>
      <c r="U9" s="373">
        <f t="shared" si="1"/>
        <v>42323.344943999997</v>
      </c>
      <c r="V9" s="376">
        <f t="shared" ref="V9:V10" si="34">O9*0.27</f>
        <v>3809.1010449600003</v>
      </c>
      <c r="W9" s="373">
        <f t="shared" si="16"/>
        <v>10203.1998441632</v>
      </c>
      <c r="X9" s="373">
        <f t="shared" si="2"/>
        <v>56431.126592000001</v>
      </c>
      <c r="Y9" s="376">
        <f t="shared" si="3"/>
        <v>3809.1010449600003</v>
      </c>
      <c r="Z9" s="373">
        <f>$H$9-$N$9-Y9</f>
        <v>10203.1998441632</v>
      </c>
      <c r="AA9" s="373">
        <f t="shared" si="4"/>
        <v>70538.908240000004</v>
      </c>
      <c r="AB9" s="376">
        <f t="shared" si="17"/>
        <v>3809.1010449600003</v>
      </c>
      <c r="AC9" s="373">
        <f t="shared" si="18"/>
        <v>10203.1998441632</v>
      </c>
      <c r="AD9" s="373">
        <f t="shared" si="5"/>
        <v>84646.689887999994</v>
      </c>
      <c r="AE9" s="376">
        <f t="shared" si="19"/>
        <v>3809.1010449600003</v>
      </c>
      <c r="AF9" s="373">
        <f t="shared" si="20"/>
        <v>10203.1998441632</v>
      </c>
      <c r="AG9" s="373">
        <f t="shared" si="6"/>
        <v>98754.471535999997</v>
      </c>
      <c r="AH9" s="377">
        <f>(AG9-88000)*0.35+(88000-AD9)*0.27</f>
        <v>4669.4587678400003</v>
      </c>
      <c r="AI9" s="373">
        <f t="shared" si="21"/>
        <v>9342.8421212832</v>
      </c>
      <c r="AJ9" s="373">
        <f t="shared" si="7"/>
        <v>112862.253184</v>
      </c>
      <c r="AK9" s="377">
        <f>H9*0.35</f>
        <v>4937.7235768</v>
      </c>
      <c r="AL9" s="373">
        <f t="shared" si="22"/>
        <v>9074.5773123231993</v>
      </c>
      <c r="AM9" s="373">
        <f t="shared" si="8"/>
        <v>126970.034832</v>
      </c>
      <c r="AN9" s="377">
        <f>H9*0.35</f>
        <v>4937.7235768</v>
      </c>
      <c r="AO9" s="373">
        <f t="shared" si="23"/>
        <v>9074.5773123231993</v>
      </c>
      <c r="AP9" s="373">
        <f t="shared" si="9"/>
        <v>141077.81648000001</v>
      </c>
      <c r="AQ9" s="377">
        <f t="shared" si="24"/>
        <v>4937.7235768</v>
      </c>
      <c r="AR9" s="373">
        <f t="shared" si="25"/>
        <v>9074.5773123231993</v>
      </c>
      <c r="AS9" s="373">
        <f t="shared" si="10"/>
        <v>155185.59812800001</v>
      </c>
      <c r="AT9" s="377">
        <f t="shared" si="26"/>
        <v>4937.7235768</v>
      </c>
      <c r="AU9" s="373">
        <f>$H$9-$N$9-AT9</f>
        <v>9074.5773123231993</v>
      </c>
      <c r="AV9" s="373">
        <f t="shared" si="11"/>
        <v>169293.37977599999</v>
      </c>
      <c r="AW9" s="377">
        <f t="shared" si="31"/>
        <v>4937.7235768</v>
      </c>
      <c r="AX9" s="373">
        <f t="shared" si="28"/>
        <v>9074.5773123231993</v>
      </c>
      <c r="AY9" s="371"/>
      <c r="BA9" s="358"/>
    </row>
    <row r="10" spans="1:53" s="233" customFormat="1" ht="30" hidden="1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32"/>
        <v>19983.72</v>
      </c>
      <c r="G10" s="233">
        <v>359</v>
      </c>
      <c r="H10" s="353">
        <f t="shared" si="29"/>
        <v>12497.0648</v>
      </c>
      <c r="I10" s="463">
        <v>0.5</v>
      </c>
      <c r="J10" s="362">
        <v>8900</v>
      </c>
      <c r="K10" s="361">
        <f t="shared" si="12"/>
        <v>8872.3745149866663</v>
      </c>
      <c r="L10" s="390"/>
      <c r="M10" s="390">
        <f t="shared" si="0"/>
        <v>9540.1876505232958</v>
      </c>
      <c r="N10" s="372">
        <f t="shared" si="13"/>
        <v>84.850027679999997</v>
      </c>
      <c r="O10" s="373">
        <f t="shared" si="14"/>
        <v>12497.0648</v>
      </c>
      <c r="P10" s="374">
        <f t="shared" si="33"/>
        <v>1999.4129600000001</v>
      </c>
      <c r="Q10" s="373">
        <f>$H$10-$N$10-P10</f>
        <v>10412.80181232</v>
      </c>
      <c r="R10" s="373">
        <f t="shared" si="15"/>
        <v>24994.1296</v>
      </c>
      <c r="S10" s="376">
        <f>H10*0.2</f>
        <v>2499.4129600000001</v>
      </c>
      <c r="T10" s="373">
        <f>$H$10-$N$10-S10</f>
        <v>9912.80181232</v>
      </c>
      <c r="U10" s="373">
        <f t="shared" si="1"/>
        <v>37491.1944</v>
      </c>
      <c r="V10" s="376">
        <f t="shared" si="34"/>
        <v>3374.2074960000004</v>
      </c>
      <c r="W10" s="373">
        <f t="shared" si="16"/>
        <v>9038.0072763199987</v>
      </c>
      <c r="X10" s="373">
        <f t="shared" si="2"/>
        <v>49988.2592</v>
      </c>
      <c r="Y10" s="376">
        <f t="shared" si="3"/>
        <v>3374.2074960000004</v>
      </c>
      <c r="Z10" s="373">
        <f>$H$10-$N$10-Y10</f>
        <v>9038.0072763199987</v>
      </c>
      <c r="AA10" s="373">
        <f t="shared" si="4"/>
        <v>62485.324000000001</v>
      </c>
      <c r="AB10" s="376">
        <f t="shared" si="17"/>
        <v>3374.2074960000004</v>
      </c>
      <c r="AC10" s="373">
        <f t="shared" si="18"/>
        <v>9038.0072763199987</v>
      </c>
      <c r="AD10" s="373">
        <f t="shared" si="5"/>
        <v>74982.388800000001</v>
      </c>
      <c r="AE10" s="376">
        <f t="shared" si="19"/>
        <v>3374.2074960000004</v>
      </c>
      <c r="AF10" s="373">
        <f t="shared" si="20"/>
        <v>9038.0072763199987</v>
      </c>
      <c r="AG10" s="373">
        <f t="shared" si="6"/>
        <v>87479.453600000008</v>
      </c>
      <c r="AH10" s="376">
        <f>H10*0.27</f>
        <v>3374.2074960000004</v>
      </c>
      <c r="AI10" s="373">
        <f t="shared" si="21"/>
        <v>9038.0072763199987</v>
      </c>
      <c r="AJ10" s="373">
        <f t="shared" si="7"/>
        <v>99976.518400000001</v>
      </c>
      <c r="AK10" s="377">
        <f>(AJ10-88000)*0.35+(88000-AG10)*0.27</f>
        <v>4332.328967999998</v>
      </c>
      <c r="AL10" s="373">
        <f t="shared" si="22"/>
        <v>8079.8858043200016</v>
      </c>
      <c r="AM10" s="373">
        <f t="shared" si="8"/>
        <v>112473.58319999999</v>
      </c>
      <c r="AN10" s="377">
        <f>H10*0.35</f>
        <v>4373.9726799999999</v>
      </c>
      <c r="AO10" s="373">
        <f t="shared" si="23"/>
        <v>8038.2420923199998</v>
      </c>
      <c r="AP10" s="373">
        <f t="shared" si="9"/>
        <v>124970.648</v>
      </c>
      <c r="AQ10" s="377">
        <f t="shared" si="24"/>
        <v>4373.9726799999999</v>
      </c>
      <c r="AR10" s="373">
        <f t="shared" si="25"/>
        <v>8038.2420923199998</v>
      </c>
      <c r="AS10" s="373">
        <f t="shared" si="10"/>
        <v>137467.71280000001</v>
      </c>
      <c r="AT10" s="377">
        <f t="shared" si="26"/>
        <v>4373.9726799999999</v>
      </c>
      <c r="AU10" s="373">
        <f>$H$10-$N$10-AT10</f>
        <v>8038.2420923199998</v>
      </c>
      <c r="AV10" s="373">
        <f t="shared" si="11"/>
        <v>149964.7776</v>
      </c>
      <c r="AW10" s="377">
        <f t="shared" si="31"/>
        <v>4373.9726799999999</v>
      </c>
      <c r="AX10" s="373">
        <f t="shared" si="28"/>
        <v>8038.2420923199998</v>
      </c>
      <c r="AY10" s="371"/>
      <c r="BA10" s="358"/>
    </row>
    <row r="11" spans="1:53" s="233" customFormat="1" ht="30" hidden="1" customHeight="1" x14ac:dyDescent="0.45">
      <c r="A11" s="728"/>
      <c r="B11" s="461" t="s">
        <v>234</v>
      </c>
      <c r="C11" s="231">
        <v>300</v>
      </c>
      <c r="D11" s="238">
        <v>6661</v>
      </c>
      <c r="E11" s="234">
        <v>9992.0399999999991</v>
      </c>
      <c r="F11" s="234">
        <f t="shared" si="32"/>
        <v>16653.04</v>
      </c>
      <c r="G11" s="233">
        <v>359</v>
      </c>
      <c r="H11" s="353">
        <f t="shared" si="29"/>
        <v>10204.890824</v>
      </c>
      <c r="I11" s="463">
        <v>0.42</v>
      </c>
      <c r="J11" s="362">
        <v>7400</v>
      </c>
      <c r="K11" s="361">
        <f t="shared" si="12"/>
        <v>7397.624022828265</v>
      </c>
      <c r="L11" s="390"/>
      <c r="M11" s="390">
        <f t="shared" si="0"/>
        <v>7954.4344331486718</v>
      </c>
      <c r="N11" s="372">
        <f t="shared" si="13"/>
        <v>69.721679438400002</v>
      </c>
      <c r="O11" s="373">
        <f t="shared" si="14"/>
        <v>10204.890824</v>
      </c>
      <c r="P11" s="374">
        <f t="shared" si="33"/>
        <v>1540.9781648000001</v>
      </c>
      <c r="Q11" s="373">
        <f>$H$11-$N$11-P11</f>
        <v>8594.190979761599</v>
      </c>
      <c r="R11" s="373">
        <f t="shared" si="15"/>
        <v>20409.781648</v>
      </c>
      <c r="S11" s="374">
        <f>H11*0.2</f>
        <v>2040.9781648000001</v>
      </c>
      <c r="T11" s="373">
        <f>$H$11-$N$11-S11</f>
        <v>8094.1909797615999</v>
      </c>
      <c r="U11" s="373">
        <f t="shared" si="1"/>
        <v>30614.672471999998</v>
      </c>
      <c r="V11" s="376">
        <f>(U11-25000)*0.27+(25000-R11)*0.2</f>
        <v>2434.0052378399996</v>
      </c>
      <c r="W11" s="373">
        <f t="shared" si="16"/>
        <v>7701.1639067216001</v>
      </c>
      <c r="X11" s="373">
        <f t="shared" si="2"/>
        <v>40819.563296</v>
      </c>
      <c r="Y11" s="376">
        <f t="shared" si="3"/>
        <v>2755.3205224800004</v>
      </c>
      <c r="Z11" s="373">
        <f>$H$11-$N$11-Y11</f>
        <v>7379.8486220815994</v>
      </c>
      <c r="AA11" s="373">
        <f t="shared" si="4"/>
        <v>51024.454120000002</v>
      </c>
      <c r="AB11" s="376">
        <f t="shared" si="17"/>
        <v>2755.3205224800004</v>
      </c>
      <c r="AC11" s="373">
        <f t="shared" si="18"/>
        <v>7379.8486220815994</v>
      </c>
      <c r="AD11" s="373">
        <f t="shared" si="5"/>
        <v>61229.344943999997</v>
      </c>
      <c r="AE11" s="376">
        <f t="shared" si="19"/>
        <v>2755.3205224800004</v>
      </c>
      <c r="AF11" s="373">
        <f t="shared" si="20"/>
        <v>7379.8486220815994</v>
      </c>
      <c r="AG11" s="373">
        <f t="shared" si="6"/>
        <v>71434.235767999999</v>
      </c>
      <c r="AH11" s="376">
        <f>H11*0.27</f>
        <v>2755.3205224800004</v>
      </c>
      <c r="AI11" s="373">
        <f t="shared" si="21"/>
        <v>7379.8486220815994</v>
      </c>
      <c r="AJ11" s="373">
        <f t="shared" si="7"/>
        <v>81639.126592000001</v>
      </c>
      <c r="AK11" s="376">
        <f>H11*0.27</f>
        <v>2755.3205224800004</v>
      </c>
      <c r="AL11" s="373">
        <f t="shared" si="22"/>
        <v>7379.8486220815994</v>
      </c>
      <c r="AM11" s="373">
        <f t="shared" si="8"/>
        <v>91844.017416000002</v>
      </c>
      <c r="AN11" s="377">
        <f>(AM11-88000)*0.35+(88000-AJ11)*0.27</f>
        <v>3062.841915760001</v>
      </c>
      <c r="AO11" s="373">
        <f t="shared" si="23"/>
        <v>7072.3272288015987</v>
      </c>
      <c r="AP11" s="373">
        <f t="shared" si="9"/>
        <v>102048.90824</v>
      </c>
      <c r="AQ11" s="377">
        <f t="shared" si="24"/>
        <v>3571.7117883999999</v>
      </c>
      <c r="AR11" s="373">
        <f t="shared" si="25"/>
        <v>6563.4573561615998</v>
      </c>
      <c r="AS11" s="373">
        <f t="shared" si="10"/>
        <v>112253.79906400001</v>
      </c>
      <c r="AT11" s="377">
        <f t="shared" si="26"/>
        <v>3571.7117883999999</v>
      </c>
      <c r="AU11" s="373">
        <f>$H$11-$N$11-AT11</f>
        <v>6563.4573561615998</v>
      </c>
      <c r="AV11" s="373">
        <f t="shared" si="11"/>
        <v>122458.68988799999</v>
      </c>
      <c r="AW11" s="377">
        <f t="shared" si="31"/>
        <v>3571.7117883999999</v>
      </c>
      <c r="AX11" s="373">
        <f t="shared" si="28"/>
        <v>6563.4573561615998</v>
      </c>
      <c r="AY11" s="371"/>
      <c r="BA11" s="358"/>
    </row>
    <row r="12" spans="1:53" s="380" customFormat="1" ht="30" hidden="1" customHeight="1" x14ac:dyDescent="0.45">
      <c r="A12" s="728"/>
      <c r="B12" s="461" t="s">
        <v>236</v>
      </c>
      <c r="C12" s="231">
        <v>300</v>
      </c>
      <c r="D12" s="238">
        <v>6661</v>
      </c>
      <c r="E12" s="234">
        <v>9992.0399999999991</v>
      </c>
      <c r="F12" s="234">
        <f t="shared" si="32"/>
        <v>16653.04</v>
      </c>
      <c r="G12" s="233">
        <v>359</v>
      </c>
      <c r="H12" s="353">
        <f t="shared" si="29"/>
        <v>9926.1129079999992</v>
      </c>
      <c r="I12" s="463">
        <v>0.39</v>
      </c>
      <c r="J12" s="362">
        <v>7200</v>
      </c>
      <c r="K12" s="361">
        <f t="shared" si="12"/>
        <v>7218.2583116738651</v>
      </c>
      <c r="L12" s="390"/>
      <c r="M12" s="390">
        <f t="shared" si="0"/>
        <v>7761.5680770686722</v>
      </c>
      <c r="N12" s="372">
        <f t="shared" si="13"/>
        <v>67.881745192799997</v>
      </c>
      <c r="O12" s="373">
        <f t="shared" si="14"/>
        <v>9926.1129079999992</v>
      </c>
      <c r="P12" s="378">
        <f>(O12*0.15)</f>
        <v>1488.9169361999998</v>
      </c>
      <c r="Q12" s="373">
        <f>$H$12-$N$12-P12</f>
        <v>8369.3142266071991</v>
      </c>
      <c r="R12" s="373">
        <f t="shared" si="15"/>
        <v>19852.225815999998</v>
      </c>
      <c r="S12" s="374">
        <f>(R12-10000)*0.2+(10000-O12)*0.15</f>
        <v>1981.528227</v>
      </c>
      <c r="T12" s="373">
        <f>$H$12-$N$12-S12</f>
        <v>7876.7029358071986</v>
      </c>
      <c r="U12" s="373">
        <f t="shared" si="1"/>
        <v>29778.338723999997</v>
      </c>
      <c r="V12" s="382">
        <f>(U12-25000)*0.27+(25000-R12)*0.2</f>
        <v>2319.7062922799996</v>
      </c>
      <c r="W12" s="373">
        <f t="shared" si="16"/>
        <v>7538.5248705271988</v>
      </c>
      <c r="X12" s="373">
        <f t="shared" si="2"/>
        <v>39704.451631999997</v>
      </c>
      <c r="Y12" s="382">
        <f t="shared" si="3"/>
        <v>2680.0504851599999</v>
      </c>
      <c r="Z12" s="373">
        <f>$H$12-$N$12-Y12</f>
        <v>7178.1806776471985</v>
      </c>
      <c r="AA12" s="373">
        <f t="shared" si="4"/>
        <v>49630.564539999992</v>
      </c>
      <c r="AB12" s="382">
        <f t="shared" si="17"/>
        <v>2680.0504851599999</v>
      </c>
      <c r="AC12" s="373">
        <f t="shared" si="18"/>
        <v>7178.1806776471985</v>
      </c>
      <c r="AD12" s="373">
        <f t="shared" si="5"/>
        <v>59556.677447999995</v>
      </c>
      <c r="AE12" s="382">
        <f t="shared" si="19"/>
        <v>2680.0504851599999</v>
      </c>
      <c r="AF12" s="373">
        <f t="shared" si="20"/>
        <v>7178.1806776471985</v>
      </c>
      <c r="AG12" s="373">
        <f t="shared" si="6"/>
        <v>69482.790355999998</v>
      </c>
      <c r="AH12" s="382">
        <f>H12*0.27</f>
        <v>2680.0504851599999</v>
      </c>
      <c r="AI12" s="373">
        <f t="shared" si="21"/>
        <v>7178.1806776471985</v>
      </c>
      <c r="AJ12" s="373">
        <f t="shared" si="7"/>
        <v>79408.903263999993</v>
      </c>
      <c r="AK12" s="376">
        <f>H12*0.27</f>
        <v>2680.0504851599999</v>
      </c>
      <c r="AL12" s="373">
        <f t="shared" si="22"/>
        <v>7178.1806776471985</v>
      </c>
      <c r="AM12" s="373">
        <f t="shared" si="8"/>
        <v>89335.016171999989</v>
      </c>
      <c r="AN12" s="377">
        <f>(AM12-88000)*0.35+(88000-AJ12)*0.27</f>
        <v>2786.8517789199977</v>
      </c>
      <c r="AO12" s="373">
        <f t="shared" si="23"/>
        <v>7071.3793838872007</v>
      </c>
      <c r="AP12" s="373">
        <f t="shared" si="9"/>
        <v>99261.129079999984</v>
      </c>
      <c r="AQ12" s="383">
        <f t="shared" si="24"/>
        <v>3474.1395177999993</v>
      </c>
      <c r="AR12" s="373">
        <f t="shared" si="25"/>
        <v>6384.0916450071991</v>
      </c>
      <c r="AS12" s="373">
        <f t="shared" si="10"/>
        <v>109187.24198799999</v>
      </c>
      <c r="AT12" s="383">
        <f t="shared" si="26"/>
        <v>3474.1395177999993</v>
      </c>
      <c r="AU12" s="373">
        <f>$H$12-$N$12-AT12</f>
        <v>6384.0916450071991</v>
      </c>
      <c r="AV12" s="373">
        <f t="shared" si="11"/>
        <v>119113.35489599999</v>
      </c>
      <c r="AW12" s="383">
        <f t="shared" si="31"/>
        <v>3474.1395177999993</v>
      </c>
      <c r="AX12" s="373">
        <f t="shared" si="28"/>
        <v>6384.0916450071991</v>
      </c>
      <c r="AY12" s="384"/>
      <c r="BA12" s="358"/>
    </row>
    <row r="13" spans="1:53" s="233" customFormat="1" ht="30" hidden="1" customHeight="1" x14ac:dyDescent="0.45">
      <c r="A13" s="728"/>
      <c r="B13" s="461" t="s">
        <v>235</v>
      </c>
      <c r="C13" s="231">
        <v>300</v>
      </c>
      <c r="D13" s="238">
        <v>6661</v>
      </c>
      <c r="E13" s="234">
        <v>9992.0399999999991</v>
      </c>
      <c r="F13" s="234">
        <f t="shared" si="32"/>
        <v>16653.04</v>
      </c>
      <c r="G13" s="233">
        <v>359</v>
      </c>
      <c r="H13" s="353">
        <f t="shared" si="29"/>
        <v>9275.6311040000001</v>
      </c>
      <c r="I13" s="463">
        <v>0.32</v>
      </c>
      <c r="J13" s="362">
        <v>6800</v>
      </c>
      <c r="K13" s="361">
        <f t="shared" si="12"/>
        <v>6799.7383189802667</v>
      </c>
      <c r="L13" s="390"/>
      <c r="M13" s="390">
        <f t="shared" si="0"/>
        <v>7311.5465795486734</v>
      </c>
      <c r="N13" s="372">
        <f t="shared" si="13"/>
        <v>63.588565286399998</v>
      </c>
      <c r="O13" s="373">
        <f t="shared" si="14"/>
        <v>9275.6311040000001</v>
      </c>
      <c r="P13" s="378">
        <f>(O13*0.15)</f>
        <v>1391.3446655999999</v>
      </c>
      <c r="Q13" s="373">
        <f>$H$13-$N$13-P13</f>
        <v>7820.6978731136005</v>
      </c>
      <c r="R13" s="373">
        <f t="shared" si="15"/>
        <v>18551.262208</v>
      </c>
      <c r="S13" s="374">
        <f>(R13-10000)*0.2+(10000-O13)*0.15</f>
        <v>1818.907776</v>
      </c>
      <c r="T13" s="373">
        <f>$H$13-$N$13-S13</f>
        <v>7393.1347627136001</v>
      </c>
      <c r="U13" s="373">
        <f t="shared" si="1"/>
        <v>27826.893312</v>
      </c>
      <c r="V13" s="376">
        <f>(U13-25000)*0.27+(25000-R13)*0.2</f>
        <v>2053.0087526400002</v>
      </c>
      <c r="W13" s="373">
        <f t="shared" si="16"/>
        <v>7159.0337860735999</v>
      </c>
      <c r="X13" s="373">
        <f t="shared" si="2"/>
        <v>37102.524416</v>
      </c>
      <c r="Y13" s="376">
        <f t="shared" si="3"/>
        <v>2504.4203980800003</v>
      </c>
      <c r="Z13" s="373">
        <f>$H$13-$N$13-Y13</f>
        <v>6707.6221406335999</v>
      </c>
      <c r="AA13" s="373">
        <f t="shared" si="4"/>
        <v>46378.15552</v>
      </c>
      <c r="AB13" s="376">
        <f t="shared" si="17"/>
        <v>2504.4203980800003</v>
      </c>
      <c r="AC13" s="373">
        <f t="shared" si="18"/>
        <v>6707.6221406335999</v>
      </c>
      <c r="AD13" s="373">
        <f t="shared" si="5"/>
        <v>55653.786624</v>
      </c>
      <c r="AE13" s="376">
        <f t="shared" si="19"/>
        <v>2504.4203980800003</v>
      </c>
      <c r="AF13" s="373">
        <f t="shared" si="20"/>
        <v>6707.6221406335999</v>
      </c>
      <c r="AG13" s="373">
        <f t="shared" si="6"/>
        <v>64929.417728</v>
      </c>
      <c r="AH13" s="376">
        <f>H13*0.27</f>
        <v>2504.4203980800003</v>
      </c>
      <c r="AI13" s="373">
        <f t="shared" si="21"/>
        <v>6707.6221406335999</v>
      </c>
      <c r="AJ13" s="373">
        <f t="shared" si="7"/>
        <v>74205.048832</v>
      </c>
      <c r="AK13" s="376">
        <f>H13*0.27</f>
        <v>2504.4203980800003</v>
      </c>
      <c r="AL13" s="373">
        <f t="shared" si="22"/>
        <v>6707.6221406335999</v>
      </c>
      <c r="AM13" s="373">
        <f t="shared" si="8"/>
        <v>83480.679936</v>
      </c>
      <c r="AN13" s="376">
        <f>H13*0.27</f>
        <v>2504.4203980800003</v>
      </c>
      <c r="AO13" s="373">
        <f t="shared" si="23"/>
        <v>6707.6221406335999</v>
      </c>
      <c r="AP13" s="373">
        <f t="shared" si="9"/>
        <v>92756.311040000001</v>
      </c>
      <c r="AQ13" s="377">
        <f>(AP13-88000)*0.35+(88000-AM13)*0.27</f>
        <v>2884.92528128</v>
      </c>
      <c r="AR13" s="373">
        <f t="shared" si="25"/>
        <v>6327.1172574335997</v>
      </c>
      <c r="AS13" s="373">
        <f t="shared" si="10"/>
        <v>102031.942144</v>
      </c>
      <c r="AT13" s="377">
        <f t="shared" si="26"/>
        <v>3246.4708863999999</v>
      </c>
      <c r="AU13" s="373">
        <f>$H$13-$N$13-AT13</f>
        <v>5965.5716523135998</v>
      </c>
      <c r="AV13" s="373">
        <f t="shared" si="11"/>
        <v>111307.573248</v>
      </c>
      <c r="AW13" s="377">
        <f t="shared" si="31"/>
        <v>3246.4708863999999</v>
      </c>
      <c r="AX13" s="373">
        <f t="shared" si="28"/>
        <v>5965.5716523135998</v>
      </c>
      <c r="AY13" s="371"/>
      <c r="BA13" s="358"/>
    </row>
    <row r="14" spans="1:53" s="233" customFormat="1" ht="30" hidden="1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32"/>
        <v>16653.04</v>
      </c>
      <c r="G14" s="233">
        <v>359</v>
      </c>
      <c r="H14" s="353">
        <f t="shared" si="29"/>
        <v>8346.371384</v>
      </c>
      <c r="I14" s="463">
        <v>0.22</v>
      </c>
      <c r="J14" s="362">
        <v>6200</v>
      </c>
      <c r="K14" s="361">
        <f t="shared" si="12"/>
        <v>6201.8526151322667</v>
      </c>
      <c r="L14" s="390"/>
      <c r="M14" s="390">
        <f t="shared" si="0"/>
        <v>6668.6587259486732</v>
      </c>
      <c r="N14" s="372">
        <f t="shared" si="13"/>
        <v>57.455451134400001</v>
      </c>
      <c r="O14" s="373">
        <f t="shared" si="14"/>
        <v>8346.371384</v>
      </c>
      <c r="P14" s="378">
        <f>(O14*0.15)</f>
        <v>1251.9557075999999</v>
      </c>
      <c r="Q14" s="373">
        <f>$H$14-$N$14-P14</f>
        <v>7036.9602252656005</v>
      </c>
      <c r="R14" s="373">
        <f t="shared" si="15"/>
        <v>16692.742768</v>
      </c>
      <c r="S14" s="374">
        <f>(R14-10000)*0.2+(10000-O14)*0.15</f>
        <v>1586.592846</v>
      </c>
      <c r="T14" s="373">
        <f>$H$14-$N$14-S14</f>
        <v>6702.323086865601</v>
      </c>
      <c r="U14" s="373">
        <f t="shared" si="1"/>
        <v>25039.114152000002</v>
      </c>
      <c r="V14" s="376">
        <f>(U14-25000)*0.27+(25000-R14)*0.2</f>
        <v>1672.0122674400006</v>
      </c>
      <c r="W14" s="373">
        <f t="shared" si="16"/>
        <v>6616.9036654255997</v>
      </c>
      <c r="X14" s="373">
        <f t="shared" si="2"/>
        <v>33385.485536</v>
      </c>
      <c r="Y14" s="376">
        <f t="shared" si="3"/>
        <v>2253.5202736800002</v>
      </c>
      <c r="Z14" s="373">
        <f>$H$14-$N$14-Y14</f>
        <v>6035.3956591856004</v>
      </c>
      <c r="AA14" s="373">
        <f t="shared" si="4"/>
        <v>41731.856919999998</v>
      </c>
      <c r="AB14" s="376">
        <f t="shared" si="17"/>
        <v>2253.5202736800002</v>
      </c>
      <c r="AC14" s="373">
        <f t="shared" si="18"/>
        <v>6035.3956591856004</v>
      </c>
      <c r="AD14" s="373">
        <f t="shared" si="5"/>
        <v>50078.228304000004</v>
      </c>
      <c r="AE14" s="376">
        <f t="shared" si="19"/>
        <v>2253.5202736800002</v>
      </c>
      <c r="AF14" s="373">
        <f t="shared" si="20"/>
        <v>6035.3956591856004</v>
      </c>
      <c r="AG14" s="373">
        <f t="shared" si="6"/>
        <v>58424.599688000002</v>
      </c>
      <c r="AH14" s="376">
        <f>H14*0.27</f>
        <v>2253.5202736800002</v>
      </c>
      <c r="AI14" s="373">
        <f t="shared" si="21"/>
        <v>6035.3956591856004</v>
      </c>
      <c r="AJ14" s="373">
        <f t="shared" si="7"/>
        <v>66770.971072</v>
      </c>
      <c r="AK14" s="376">
        <f>H14*0.27</f>
        <v>2253.5202736800002</v>
      </c>
      <c r="AL14" s="373">
        <f t="shared" si="22"/>
        <v>6035.3956591856004</v>
      </c>
      <c r="AM14" s="373">
        <f t="shared" si="8"/>
        <v>75117.342455999998</v>
      </c>
      <c r="AN14" s="376">
        <f>H14*0.27</f>
        <v>2253.5202736800002</v>
      </c>
      <c r="AO14" s="373">
        <f t="shared" si="23"/>
        <v>6035.3956591856004</v>
      </c>
      <c r="AP14" s="373">
        <f t="shared" si="9"/>
        <v>83463.713839999997</v>
      </c>
      <c r="AQ14" s="376">
        <f>H14*0.27</f>
        <v>2253.5202736800002</v>
      </c>
      <c r="AR14" s="373">
        <f t="shared" si="25"/>
        <v>6035.3956591856004</v>
      </c>
      <c r="AS14" s="373">
        <f t="shared" si="10"/>
        <v>91810.085223999995</v>
      </c>
      <c r="AT14" s="377">
        <f>(AS14-88000)*0.35+(88000-AP14)*0.27</f>
        <v>2558.3270915999992</v>
      </c>
      <c r="AU14" s="373">
        <f>$H$14-$N$14-AT14</f>
        <v>5730.5888412656013</v>
      </c>
      <c r="AV14" s="373">
        <f t="shared" si="11"/>
        <v>100156.45660800001</v>
      </c>
      <c r="AW14" s="377">
        <f t="shared" si="31"/>
        <v>2921.2299843999999</v>
      </c>
      <c r="AX14" s="373">
        <f t="shared" si="28"/>
        <v>5367.6859484656006</v>
      </c>
      <c r="AY14" s="371"/>
      <c r="BA14" s="358"/>
    </row>
    <row r="15" spans="1:53" s="233" customFormat="1" ht="30" hidden="1" customHeight="1" x14ac:dyDescent="0.45">
      <c r="A15" s="730" t="s">
        <v>15</v>
      </c>
      <c r="B15" s="461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32"/>
        <v>24980.1</v>
      </c>
      <c r="G15" s="233">
        <v>359</v>
      </c>
      <c r="H15" s="353">
        <f t="shared" si="29"/>
        <v>17089.100247999999</v>
      </c>
      <c r="I15" s="463">
        <v>0.67</v>
      </c>
      <c r="J15" s="362">
        <v>11900</v>
      </c>
      <c r="K15" s="361">
        <f t="shared" si="12"/>
        <v>11826.924366229863</v>
      </c>
      <c r="L15" s="390"/>
      <c r="M15" s="390">
        <f t="shared" si="0"/>
        <v>12717.122974440712</v>
      </c>
      <c r="N15" s="372">
        <f t="shared" si="13"/>
        <v>115.15746163679999</v>
      </c>
      <c r="O15" s="373">
        <f t="shared" si="14"/>
        <v>17089.100247999999</v>
      </c>
      <c r="P15" s="374">
        <f t="shared" si="33"/>
        <v>2917.8200495999999</v>
      </c>
      <c r="Q15" s="373">
        <f>$H$15-$N$15-P15</f>
        <v>14056.122736763198</v>
      </c>
      <c r="R15" s="373">
        <f t="shared" si="15"/>
        <v>34178.200495999998</v>
      </c>
      <c r="S15" s="376">
        <f>(R15-25000)*0.27+(25000-O15)*0.2</f>
        <v>4060.2940843199995</v>
      </c>
      <c r="T15" s="373">
        <f>$H$15-$N$15-S15</f>
        <v>12913.648702043198</v>
      </c>
      <c r="U15" s="373">
        <f t="shared" si="1"/>
        <v>51267.300743999993</v>
      </c>
      <c r="V15" s="376">
        <f>H15*0.27</f>
        <v>4614.0570669600002</v>
      </c>
      <c r="W15" s="373">
        <f t="shared" si="16"/>
        <v>12359.885719403197</v>
      </c>
      <c r="X15" s="373">
        <f t="shared" si="2"/>
        <v>68356.400991999995</v>
      </c>
      <c r="Y15" s="376">
        <f t="shared" si="3"/>
        <v>4614.0570669600002</v>
      </c>
      <c r="Z15" s="373">
        <f>$H$15-$N$15-Y15</f>
        <v>12359.885719403197</v>
      </c>
      <c r="AA15" s="373">
        <f t="shared" si="4"/>
        <v>85445.501239999998</v>
      </c>
      <c r="AB15" s="376">
        <f t="shared" si="17"/>
        <v>4614.0570669600002</v>
      </c>
      <c r="AC15" s="373">
        <f t="shared" si="18"/>
        <v>12359.885719403197</v>
      </c>
      <c r="AD15" s="373">
        <f t="shared" si="5"/>
        <v>102534.60148799999</v>
      </c>
      <c r="AE15" s="377">
        <f>(AD15-88000)*0.35+(88000-AA15)*0.27</f>
        <v>5776.8251859999955</v>
      </c>
      <c r="AF15" s="373">
        <f t="shared" si="20"/>
        <v>11197.117600363203</v>
      </c>
      <c r="AG15" s="373">
        <f t="shared" si="6"/>
        <v>119623.70173599999</v>
      </c>
      <c r="AH15" s="377">
        <f>H15*0.35</f>
        <v>5981.1850867999992</v>
      </c>
      <c r="AI15" s="373">
        <f t="shared" si="21"/>
        <v>10992.757699563197</v>
      </c>
      <c r="AJ15" s="373">
        <f t="shared" si="7"/>
        <v>136712.80198399999</v>
      </c>
      <c r="AK15" s="377">
        <f>H15*0.35</f>
        <v>5981.1850867999992</v>
      </c>
      <c r="AL15" s="373">
        <f t="shared" si="22"/>
        <v>10992.757699563197</v>
      </c>
      <c r="AM15" s="373">
        <f t="shared" si="8"/>
        <v>153801.90223199999</v>
      </c>
      <c r="AN15" s="377">
        <f>H15*0.35</f>
        <v>5981.1850867999992</v>
      </c>
      <c r="AO15" s="373">
        <f t="shared" si="23"/>
        <v>10992.757699563197</v>
      </c>
      <c r="AP15" s="373">
        <f t="shared" si="9"/>
        <v>170891.00248</v>
      </c>
      <c r="AQ15" s="377">
        <f>H15*0.35</f>
        <v>5981.1850867999992</v>
      </c>
      <c r="AR15" s="373">
        <f t="shared" si="25"/>
        <v>10992.757699563197</v>
      </c>
      <c r="AS15" s="373">
        <f t="shared" si="10"/>
        <v>187980.102728</v>
      </c>
      <c r="AT15" s="377">
        <f t="shared" si="26"/>
        <v>5981.1850867999992</v>
      </c>
      <c r="AU15" s="373">
        <f>$H$15-$N$15-AT15</f>
        <v>10992.757699563197</v>
      </c>
      <c r="AV15" s="373">
        <f t="shared" si="11"/>
        <v>205069.20297599997</v>
      </c>
      <c r="AW15" s="377">
        <f t="shared" si="31"/>
        <v>5981.1850867999992</v>
      </c>
      <c r="AX15" s="373">
        <f t="shared" si="28"/>
        <v>10992.757699563197</v>
      </c>
      <c r="AY15" s="371"/>
      <c r="BA15" s="358"/>
    </row>
    <row r="16" spans="1:53" s="233" customFormat="1" ht="30" hidden="1" customHeight="1" x14ac:dyDescent="0.45">
      <c r="A16" s="730"/>
      <c r="B16" s="461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32"/>
        <v>24980.1</v>
      </c>
      <c r="G16" s="233">
        <v>359</v>
      </c>
      <c r="H16" s="353">
        <f t="shared" si="29"/>
        <v>11141.838039999999</v>
      </c>
      <c r="I16" s="363">
        <v>0.35</v>
      </c>
      <c r="J16" s="362">
        <v>8000</v>
      </c>
      <c r="K16" s="361">
        <f t="shared" si="12"/>
        <v>8000.4558616026688</v>
      </c>
      <c r="L16" s="390"/>
      <c r="M16" s="390">
        <f t="shared" si="0"/>
        <v>8602.6407114007179</v>
      </c>
      <c r="N16" s="372">
        <f t="shared" si="13"/>
        <v>75.905531063999987</v>
      </c>
      <c r="O16" s="373">
        <f t="shared" si="14"/>
        <v>11141.838039999999</v>
      </c>
      <c r="P16" s="374">
        <f t="shared" si="33"/>
        <v>1728.3676079999998</v>
      </c>
      <c r="Q16" s="373">
        <f>$H$16-$N$16-P16</f>
        <v>9337.5649009359986</v>
      </c>
      <c r="R16" s="373">
        <f t="shared" si="15"/>
        <v>22283.676079999997</v>
      </c>
      <c r="S16" s="374">
        <f>H16*0.2</f>
        <v>2228.367608</v>
      </c>
      <c r="T16" s="373">
        <f>$H$16-$N$16-S16</f>
        <v>8837.5649009359986</v>
      </c>
      <c r="U16" s="373">
        <f t="shared" si="1"/>
        <v>33425.514119999993</v>
      </c>
      <c r="V16" s="376">
        <f>(U16-25000)*0.27+(25000-R16)*0.2</f>
        <v>2818.1535963999986</v>
      </c>
      <c r="W16" s="373">
        <f t="shared" si="16"/>
        <v>8247.7789125359996</v>
      </c>
      <c r="X16" s="373">
        <f t="shared" si="2"/>
        <v>44567.352159999995</v>
      </c>
      <c r="Y16" s="376">
        <f t="shared" si="3"/>
        <v>3008.2962708</v>
      </c>
      <c r="Z16" s="373">
        <f>$H$16-$N$16-Y16</f>
        <v>8057.6362381359995</v>
      </c>
      <c r="AA16" s="373">
        <f t="shared" si="4"/>
        <v>55709.190199999997</v>
      </c>
      <c r="AB16" s="376">
        <f t="shared" si="17"/>
        <v>3008.2962708</v>
      </c>
      <c r="AC16" s="373">
        <f t="shared" si="18"/>
        <v>8057.6362381359995</v>
      </c>
      <c r="AD16" s="373">
        <f t="shared" si="5"/>
        <v>66851.028239999985</v>
      </c>
      <c r="AE16" s="376">
        <f t="shared" ref="AE16:AE26" si="35">H16*0.27</f>
        <v>3008.2962708</v>
      </c>
      <c r="AF16" s="373">
        <f t="shared" si="20"/>
        <v>8057.6362381359995</v>
      </c>
      <c r="AG16" s="373">
        <f t="shared" si="6"/>
        <v>77992.866279999987</v>
      </c>
      <c r="AH16" s="376">
        <f>H16*0.27</f>
        <v>3008.2962708</v>
      </c>
      <c r="AI16" s="373">
        <f t="shared" si="21"/>
        <v>8057.6362381359995</v>
      </c>
      <c r="AJ16" s="373">
        <f t="shared" si="7"/>
        <v>89134.70431999999</v>
      </c>
      <c r="AK16" s="377">
        <f>(AJ16-88000)*0.35+(88000-AG16)*0.27</f>
        <v>3099.0726163999998</v>
      </c>
      <c r="AL16" s="373">
        <f t="shared" si="22"/>
        <v>7966.8598925359993</v>
      </c>
      <c r="AM16" s="373">
        <f t="shared" si="8"/>
        <v>100276.54235999999</v>
      </c>
      <c r="AN16" s="377">
        <f>H16*0.35</f>
        <v>3899.6433139999995</v>
      </c>
      <c r="AO16" s="373">
        <f t="shared" si="23"/>
        <v>7166.2891949360001</v>
      </c>
      <c r="AP16" s="373">
        <f t="shared" si="9"/>
        <v>111418.38039999999</v>
      </c>
      <c r="AQ16" s="377">
        <f>H16*0.35</f>
        <v>3899.6433139999995</v>
      </c>
      <c r="AR16" s="373">
        <f t="shared" si="25"/>
        <v>7166.2891949360001</v>
      </c>
      <c r="AS16" s="373">
        <f t="shared" si="10"/>
        <v>122560.21843999998</v>
      </c>
      <c r="AT16" s="377">
        <f t="shared" si="26"/>
        <v>3899.6433139999995</v>
      </c>
      <c r="AU16" s="373">
        <f>$H$16-$N$16-AT16</f>
        <v>7166.2891949360001</v>
      </c>
      <c r="AV16" s="373">
        <f t="shared" si="11"/>
        <v>133702.05647999997</v>
      </c>
      <c r="AW16" s="377">
        <f t="shared" si="31"/>
        <v>3899.6433139999995</v>
      </c>
      <c r="AX16" s="373">
        <f t="shared" si="28"/>
        <v>7166.2891949360001</v>
      </c>
      <c r="AY16" s="371"/>
      <c r="BA16" s="358"/>
    </row>
    <row r="17" spans="1:53" s="233" customFormat="1" ht="30" hidden="1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32"/>
        <v>24980.1</v>
      </c>
      <c r="G17" s="233">
        <v>359</v>
      </c>
      <c r="H17" s="353">
        <f t="shared" si="29"/>
        <v>9283.3185999999987</v>
      </c>
      <c r="I17" s="363">
        <v>0.25</v>
      </c>
      <c r="J17" s="362">
        <v>6804</v>
      </c>
      <c r="K17" s="361">
        <f t="shared" si="12"/>
        <v>6804.684453906666</v>
      </c>
      <c r="L17" s="390"/>
      <c r="M17" s="390">
        <f t="shared" si="0"/>
        <v>7316.8650042007157</v>
      </c>
      <c r="N17" s="372">
        <f t="shared" si="13"/>
        <v>63.639302759999993</v>
      </c>
      <c r="O17" s="373">
        <f t="shared" si="14"/>
        <v>9283.3185999999987</v>
      </c>
      <c r="P17" s="378">
        <f>O17*0.15</f>
        <v>1392.4977899999997</v>
      </c>
      <c r="Q17" s="373">
        <f>$H$17-$N$17-P17</f>
        <v>7827.1815072399986</v>
      </c>
      <c r="R17" s="373">
        <f t="shared" si="15"/>
        <v>18566.637199999997</v>
      </c>
      <c r="S17" s="374">
        <f>(R17-10000)*0.2+(10000-O17)*0.15</f>
        <v>1820.8296499999997</v>
      </c>
      <c r="T17" s="373">
        <f>$H$17-$N$17-S17</f>
        <v>7398.8496472399984</v>
      </c>
      <c r="U17" s="373">
        <f t="shared" si="1"/>
        <v>27849.955799999996</v>
      </c>
      <c r="V17" s="376">
        <f>(U17-25000)*0.27+(25000-R17)*0.2</f>
        <v>2056.1606259999999</v>
      </c>
      <c r="W17" s="373">
        <f t="shared" si="16"/>
        <v>7163.5186712399982</v>
      </c>
      <c r="X17" s="373">
        <f t="shared" si="2"/>
        <v>37133.274399999995</v>
      </c>
      <c r="Y17" s="376">
        <f t="shared" si="3"/>
        <v>2506.4960219999998</v>
      </c>
      <c r="Z17" s="373">
        <f>$H$17-$N$17-Y17</f>
        <v>6713.1832752399987</v>
      </c>
      <c r="AA17" s="373">
        <f t="shared" si="4"/>
        <v>46416.592999999993</v>
      </c>
      <c r="AB17" s="376">
        <f t="shared" si="17"/>
        <v>2506.4960219999998</v>
      </c>
      <c r="AC17" s="373">
        <f t="shared" si="18"/>
        <v>6713.1832752399987</v>
      </c>
      <c r="AD17" s="373">
        <f t="shared" si="5"/>
        <v>55699.911599999992</v>
      </c>
      <c r="AE17" s="376">
        <f t="shared" si="35"/>
        <v>2506.4960219999998</v>
      </c>
      <c r="AF17" s="373">
        <f t="shared" si="20"/>
        <v>6713.1832752399987</v>
      </c>
      <c r="AG17" s="373">
        <f t="shared" si="6"/>
        <v>64983.230199999991</v>
      </c>
      <c r="AH17" s="376">
        <f>H17*0.27</f>
        <v>2506.4960219999998</v>
      </c>
      <c r="AI17" s="373">
        <f t="shared" si="21"/>
        <v>6713.1832752399987</v>
      </c>
      <c r="AJ17" s="373">
        <f t="shared" si="7"/>
        <v>74266.54879999999</v>
      </c>
      <c r="AK17" s="376">
        <f>H17*0.27</f>
        <v>2506.4960219999998</v>
      </c>
      <c r="AL17" s="373">
        <f t="shared" si="22"/>
        <v>6713.1832752399987</v>
      </c>
      <c r="AM17" s="373">
        <f t="shared" si="8"/>
        <v>83549.867399999988</v>
      </c>
      <c r="AN17" s="376">
        <f>H17*0.27</f>
        <v>2506.4960219999998</v>
      </c>
      <c r="AO17" s="373">
        <f t="shared" si="23"/>
        <v>6713.1832752399987</v>
      </c>
      <c r="AP17" s="373">
        <f t="shared" si="9"/>
        <v>92833.185999999987</v>
      </c>
      <c r="AQ17" s="377">
        <f>(AP17-88000)*0.35+(88000-AM17)*0.27</f>
        <v>2893.1509019999985</v>
      </c>
      <c r="AR17" s="373">
        <f t="shared" si="25"/>
        <v>6326.5283952399996</v>
      </c>
      <c r="AS17" s="373">
        <f t="shared" si="10"/>
        <v>102116.50459999999</v>
      </c>
      <c r="AT17" s="377">
        <f t="shared" si="26"/>
        <v>3249.1615099999995</v>
      </c>
      <c r="AU17" s="373">
        <f>$H$17-$N$17-AT17</f>
        <v>5970.5177872399981</v>
      </c>
      <c r="AV17" s="373">
        <f t="shared" si="11"/>
        <v>111399.82319999998</v>
      </c>
      <c r="AW17" s="377">
        <f t="shared" si="31"/>
        <v>3249.1615099999995</v>
      </c>
      <c r="AX17" s="373">
        <f t="shared" si="28"/>
        <v>5970.5177872399981</v>
      </c>
      <c r="AY17" s="371"/>
      <c r="BA17" s="358"/>
    </row>
    <row r="18" spans="1:53" s="233" customFormat="1" ht="30" hidden="1" customHeight="1" x14ac:dyDescent="0.45">
      <c r="A18" s="730"/>
      <c r="B18" s="461" t="s">
        <v>32</v>
      </c>
      <c r="C18" s="231">
        <v>450</v>
      </c>
      <c r="D18" s="234">
        <v>4996.0199999999995</v>
      </c>
      <c r="E18" s="234">
        <v>14988.06</v>
      </c>
      <c r="F18" s="234">
        <f t="shared" si="32"/>
        <v>19984.079999999998</v>
      </c>
      <c r="G18" s="233">
        <v>359</v>
      </c>
      <c r="H18" s="353">
        <f t="shared" si="29"/>
        <v>13418.524354000001</v>
      </c>
      <c r="I18" s="463">
        <v>0.63</v>
      </c>
      <c r="J18" s="362">
        <v>9500</v>
      </c>
      <c r="K18" s="361">
        <f t="shared" si="12"/>
        <v>9465.2758360302669</v>
      </c>
      <c r="L18" s="390"/>
      <c r="M18" s="390">
        <f t="shared" si="0"/>
        <v>10177.715952720717</v>
      </c>
      <c r="N18" s="372">
        <f t="shared" si="13"/>
        <v>90.931660736400005</v>
      </c>
      <c r="O18" s="373">
        <f t="shared" si="14"/>
        <v>13418.524354000001</v>
      </c>
      <c r="P18" s="374">
        <f t="shared" si="33"/>
        <v>2183.7048708000002</v>
      </c>
      <c r="Q18" s="373">
        <f>$H$18-$N$18-P18</f>
        <v>11143.887822463601</v>
      </c>
      <c r="R18" s="373">
        <f t="shared" si="15"/>
        <v>26837.048708000002</v>
      </c>
      <c r="S18" s="376">
        <f>(R18-25000)*0.27+(25000-O18)*0.2</f>
        <v>2812.2982803600003</v>
      </c>
      <c r="T18" s="373">
        <f>$H$18-$N$18-S18</f>
        <v>10515.2944129036</v>
      </c>
      <c r="U18" s="373">
        <f t="shared" si="1"/>
        <v>40255.573062000003</v>
      </c>
      <c r="V18" s="376">
        <f>H18*0.27</f>
        <v>3623.0015755800005</v>
      </c>
      <c r="W18" s="373">
        <f t="shared" si="16"/>
        <v>9704.5911176836016</v>
      </c>
      <c r="X18" s="373">
        <f t="shared" si="2"/>
        <v>53674.097416000004</v>
      </c>
      <c r="Y18" s="376">
        <f t="shared" si="3"/>
        <v>3623.0015755800005</v>
      </c>
      <c r="Z18" s="373">
        <f>$H$18-$N$18-Y18</f>
        <v>9704.5911176836016</v>
      </c>
      <c r="AA18" s="373">
        <f t="shared" si="4"/>
        <v>67092.621769999998</v>
      </c>
      <c r="AB18" s="376">
        <f t="shared" si="17"/>
        <v>3623.0015755800005</v>
      </c>
      <c r="AC18" s="373">
        <f t="shared" si="18"/>
        <v>9704.5911176836016</v>
      </c>
      <c r="AD18" s="373">
        <f t="shared" si="5"/>
        <v>80511.146124000006</v>
      </c>
      <c r="AE18" s="376">
        <f t="shared" si="35"/>
        <v>3623.0015755800005</v>
      </c>
      <c r="AF18" s="373">
        <f t="shared" si="20"/>
        <v>9704.5911176836016</v>
      </c>
      <c r="AG18" s="373">
        <f t="shared" si="6"/>
        <v>93929.670478000015</v>
      </c>
      <c r="AH18" s="377">
        <f>(AG18-88000)*0.35+(88000-AD18)*0.27</f>
        <v>4097.3752138200034</v>
      </c>
      <c r="AI18" s="373">
        <f t="shared" si="21"/>
        <v>9230.2174794435978</v>
      </c>
      <c r="AJ18" s="373">
        <f t="shared" si="7"/>
        <v>107348.19483200001</v>
      </c>
      <c r="AK18" s="377">
        <f>H18*0.35</f>
        <v>4696.4835239000004</v>
      </c>
      <c r="AL18" s="373">
        <f t="shared" si="22"/>
        <v>8631.1091693636008</v>
      </c>
      <c r="AM18" s="373">
        <f t="shared" si="8"/>
        <v>120766.719186</v>
      </c>
      <c r="AN18" s="377">
        <f>H18*0.35</f>
        <v>4696.4835239000004</v>
      </c>
      <c r="AO18" s="373">
        <f t="shared" si="23"/>
        <v>8631.1091693636008</v>
      </c>
      <c r="AP18" s="373">
        <f t="shared" si="9"/>
        <v>134185.24354</v>
      </c>
      <c r="AQ18" s="377">
        <f>H18*0.35</f>
        <v>4696.4835239000004</v>
      </c>
      <c r="AR18" s="373">
        <f t="shared" si="25"/>
        <v>8631.1091693636008</v>
      </c>
      <c r="AS18" s="373">
        <f t="shared" si="10"/>
        <v>147603.76789400002</v>
      </c>
      <c r="AT18" s="377">
        <f t="shared" si="26"/>
        <v>4696.4835239000004</v>
      </c>
      <c r="AU18" s="373">
        <f>$H$18-$N$18-AT18</f>
        <v>8631.1091693636008</v>
      </c>
      <c r="AV18" s="373">
        <f t="shared" si="11"/>
        <v>161022.29224800001</v>
      </c>
      <c r="AW18" s="377">
        <f t="shared" si="31"/>
        <v>4696.4835239000004</v>
      </c>
      <c r="AX18" s="373">
        <f t="shared" si="28"/>
        <v>8631.1091693636008</v>
      </c>
      <c r="AY18" s="371"/>
      <c r="BA18" s="358"/>
    </row>
    <row r="19" spans="1:53" s="233" customFormat="1" ht="30" hidden="1" customHeight="1" x14ac:dyDescent="0.45">
      <c r="A19" s="730"/>
      <c r="B19" s="461" t="s">
        <v>237</v>
      </c>
      <c r="C19" s="231">
        <v>450</v>
      </c>
      <c r="D19" s="234">
        <v>4996.0199999999995</v>
      </c>
      <c r="E19" s="234">
        <v>14988.06</v>
      </c>
      <c r="F19" s="234">
        <f t="shared" si="32"/>
        <v>19984.079999999998</v>
      </c>
      <c r="G19" s="233">
        <v>359</v>
      </c>
      <c r="H19" s="353">
        <f t="shared" si="29"/>
        <v>11606.4679</v>
      </c>
      <c r="I19" s="463">
        <v>0.5</v>
      </c>
      <c r="J19" s="362">
        <v>8300</v>
      </c>
      <c r="K19" s="361">
        <f t="shared" si="12"/>
        <v>8299.3987135266634</v>
      </c>
      <c r="L19" s="390"/>
      <c r="M19" s="390">
        <f t="shared" si="0"/>
        <v>8924.084638200713</v>
      </c>
      <c r="N19" s="372">
        <f t="shared" si="13"/>
        <v>78.972088139999997</v>
      </c>
      <c r="O19" s="373">
        <f t="shared" si="14"/>
        <v>11606.4679</v>
      </c>
      <c r="P19" s="374">
        <f t="shared" si="33"/>
        <v>1821.29358</v>
      </c>
      <c r="Q19" s="373">
        <f>$H$19-$N$19-P19</f>
        <v>9706.2022318599993</v>
      </c>
      <c r="R19" s="373">
        <f t="shared" si="15"/>
        <v>23212.935799999999</v>
      </c>
      <c r="S19" s="374">
        <f>H19*0.2</f>
        <v>2321.29358</v>
      </c>
      <c r="T19" s="373">
        <f>$H$19-$N$19-S19</f>
        <v>9206.2022318599993</v>
      </c>
      <c r="U19" s="373">
        <f t="shared" si="1"/>
        <v>34819.403699999995</v>
      </c>
      <c r="V19" s="376">
        <f>(U19-25000)*0.27+(25000-R19)*0.2</f>
        <v>3008.6518389999992</v>
      </c>
      <c r="W19" s="373">
        <f t="shared" si="16"/>
        <v>8518.8439728599988</v>
      </c>
      <c r="X19" s="373">
        <f t="shared" si="2"/>
        <v>46425.871599999999</v>
      </c>
      <c r="Y19" s="376">
        <f t="shared" si="3"/>
        <v>3133.746333</v>
      </c>
      <c r="Z19" s="373">
        <f>$H$19-$N$19-Y19</f>
        <v>8393.7494788599979</v>
      </c>
      <c r="AA19" s="373">
        <f t="shared" si="4"/>
        <v>58032.339500000002</v>
      </c>
      <c r="AB19" s="376">
        <f t="shared" si="17"/>
        <v>3133.746333</v>
      </c>
      <c r="AC19" s="373">
        <f t="shared" si="18"/>
        <v>8393.7494788599979</v>
      </c>
      <c r="AD19" s="373">
        <f t="shared" si="5"/>
        <v>69638.807399999991</v>
      </c>
      <c r="AE19" s="376">
        <f t="shared" si="35"/>
        <v>3133.746333</v>
      </c>
      <c r="AF19" s="373">
        <f t="shared" si="20"/>
        <v>8393.7494788599979</v>
      </c>
      <c r="AG19" s="373">
        <f t="shared" si="6"/>
        <v>81245.275299999994</v>
      </c>
      <c r="AH19" s="376">
        <f t="shared" ref="AH19:AH26" si="36">H19*0.27</f>
        <v>3133.746333</v>
      </c>
      <c r="AI19" s="373">
        <f t="shared" si="21"/>
        <v>8393.7494788599979</v>
      </c>
      <c r="AJ19" s="373">
        <f t="shared" si="7"/>
        <v>92851.743199999997</v>
      </c>
      <c r="AK19" s="377">
        <f>(AJ19-88000)*0.35+(88000-AG19)*0.27</f>
        <v>3521.8857890000008</v>
      </c>
      <c r="AL19" s="373">
        <f t="shared" si="22"/>
        <v>8005.610022859998</v>
      </c>
      <c r="AM19" s="373">
        <f t="shared" si="8"/>
        <v>104458.2111</v>
      </c>
      <c r="AN19" s="377">
        <f>H19*0.35</f>
        <v>4062.2637649999997</v>
      </c>
      <c r="AO19" s="373">
        <f t="shared" si="23"/>
        <v>7465.2320468599992</v>
      </c>
      <c r="AP19" s="373">
        <f t="shared" si="9"/>
        <v>116064.679</v>
      </c>
      <c r="AQ19" s="377">
        <f>H19*0.35</f>
        <v>4062.2637649999997</v>
      </c>
      <c r="AR19" s="373">
        <f t="shared" si="25"/>
        <v>7465.2320468599992</v>
      </c>
      <c r="AS19" s="373">
        <f t="shared" si="10"/>
        <v>127671.14689999999</v>
      </c>
      <c r="AT19" s="377">
        <f t="shared" si="26"/>
        <v>4062.2637649999997</v>
      </c>
      <c r="AU19" s="373">
        <f>$H$19-$N$19-AT19</f>
        <v>7465.2320468599992</v>
      </c>
      <c r="AV19" s="373">
        <f t="shared" si="11"/>
        <v>139277.61479999998</v>
      </c>
      <c r="AW19" s="377">
        <f t="shared" si="31"/>
        <v>4062.2637649999997</v>
      </c>
      <c r="AX19" s="373">
        <f t="shared" si="28"/>
        <v>7465.2320468599992</v>
      </c>
      <c r="AY19" s="371"/>
      <c r="BA19" s="358"/>
    </row>
    <row r="20" spans="1:53" s="233" customFormat="1" ht="30" hidden="1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29"/>
        <v>10026.726375999999</v>
      </c>
      <c r="I20" s="463">
        <v>0.57999999999999996</v>
      </c>
      <c r="J20" s="362">
        <v>7300</v>
      </c>
      <c r="K20" s="361">
        <f t="shared" si="12"/>
        <v>7282.9930169850659</v>
      </c>
      <c r="L20" s="390"/>
      <c r="M20" s="390">
        <f t="shared" si="0"/>
        <v>7831.1752870807159</v>
      </c>
      <c r="N20" s="372">
        <f t="shared" si="13"/>
        <v>68.545794081599993</v>
      </c>
      <c r="O20" s="373">
        <f t="shared" si="14"/>
        <v>10026.726375999999</v>
      </c>
      <c r="P20" s="374">
        <f t="shared" si="33"/>
        <v>1505.3452751999998</v>
      </c>
      <c r="Q20" s="373">
        <f>$H$20-$N$20-P20</f>
        <v>8452.8353067183998</v>
      </c>
      <c r="R20" s="373">
        <f t="shared" si="15"/>
        <v>20053.452751999997</v>
      </c>
      <c r="S20" s="374">
        <f>H20*0.2</f>
        <v>2005.3452751999998</v>
      </c>
      <c r="T20" s="373">
        <f>$H$20-$N$20-S20</f>
        <v>7952.8353067183998</v>
      </c>
      <c r="U20" s="373">
        <f t="shared" si="1"/>
        <v>30080.179127999996</v>
      </c>
      <c r="V20" s="376">
        <f>(U20-25000)*0.27+(25000-R20)*0.2</f>
        <v>2360.9578141599995</v>
      </c>
      <c r="W20" s="373">
        <f t="shared" si="16"/>
        <v>7597.2227677583996</v>
      </c>
      <c r="X20" s="373">
        <f t="shared" si="2"/>
        <v>40106.905503999995</v>
      </c>
      <c r="Y20" s="376">
        <f t="shared" si="3"/>
        <v>2707.2161215199999</v>
      </c>
      <c r="Z20" s="373">
        <f>$H$20-$N$20-Y20</f>
        <v>7250.9644603983998</v>
      </c>
      <c r="AA20" s="373">
        <f t="shared" si="4"/>
        <v>50133.631879999994</v>
      </c>
      <c r="AB20" s="376">
        <f t="shared" si="17"/>
        <v>2707.2161215199999</v>
      </c>
      <c r="AC20" s="373">
        <f t="shared" si="18"/>
        <v>7250.9644603983998</v>
      </c>
      <c r="AD20" s="373">
        <f t="shared" si="5"/>
        <v>60160.358255999992</v>
      </c>
      <c r="AE20" s="376">
        <f t="shared" si="35"/>
        <v>2707.2161215199999</v>
      </c>
      <c r="AF20" s="373">
        <f t="shared" si="20"/>
        <v>7250.9644603983998</v>
      </c>
      <c r="AG20" s="373">
        <f t="shared" si="6"/>
        <v>70187.084631999984</v>
      </c>
      <c r="AH20" s="376">
        <f t="shared" si="36"/>
        <v>2707.2161215199999</v>
      </c>
      <c r="AI20" s="373">
        <f t="shared" si="21"/>
        <v>7250.9644603983998</v>
      </c>
      <c r="AJ20" s="373">
        <f t="shared" si="7"/>
        <v>80213.81100799999</v>
      </c>
      <c r="AK20" s="376">
        <f t="shared" ref="AK20:AK27" si="37">H20*0.27</f>
        <v>2707.2161215199999</v>
      </c>
      <c r="AL20" s="373">
        <f t="shared" si="22"/>
        <v>7250.9644603983998</v>
      </c>
      <c r="AM20" s="373">
        <f t="shared" si="8"/>
        <v>90240.537383999996</v>
      </c>
      <c r="AN20" s="377">
        <f>(AM20-88000)*0.35+(88000-AJ20)*0.27</f>
        <v>2886.4591122400011</v>
      </c>
      <c r="AO20" s="373">
        <f t="shared" si="23"/>
        <v>7071.7214696783976</v>
      </c>
      <c r="AP20" s="373">
        <f t="shared" si="9"/>
        <v>100267.26375999999</v>
      </c>
      <c r="AQ20" s="377">
        <f>H20*0.35</f>
        <v>3509.3542315999994</v>
      </c>
      <c r="AR20" s="373">
        <f t="shared" si="25"/>
        <v>6448.8263503183998</v>
      </c>
      <c r="AS20" s="373">
        <f t="shared" si="10"/>
        <v>110293.99013599998</v>
      </c>
      <c r="AT20" s="377">
        <f t="shared" si="26"/>
        <v>3509.3542315999994</v>
      </c>
      <c r="AU20" s="373">
        <f>$H$20-$N$20-AT20</f>
        <v>6448.8263503183998</v>
      </c>
      <c r="AV20" s="373">
        <f t="shared" si="11"/>
        <v>120320.71651199998</v>
      </c>
      <c r="AW20" s="377">
        <f t="shared" si="31"/>
        <v>3509.3542315999994</v>
      </c>
      <c r="AX20" s="373">
        <f t="shared" si="28"/>
        <v>6448.8263503183998</v>
      </c>
      <c r="AY20" s="371"/>
      <c r="BA20" s="358"/>
    </row>
    <row r="21" spans="1:53" s="233" customFormat="1" ht="30" hidden="1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29"/>
        <v>9747.9484599999996</v>
      </c>
      <c r="I21" s="363">
        <v>0.55000000000000004</v>
      </c>
      <c r="J21" s="362">
        <v>7100</v>
      </c>
      <c r="K21" s="361">
        <f t="shared" si="12"/>
        <v>7103.627305830666</v>
      </c>
      <c r="L21" s="390"/>
      <c r="M21" s="390">
        <f t="shared" si="0"/>
        <v>7638.3089310007153</v>
      </c>
      <c r="N21" s="372">
        <f t="shared" si="13"/>
        <v>66.705859836000002</v>
      </c>
      <c r="O21" s="373">
        <f t="shared" si="14"/>
        <v>9747.9484599999996</v>
      </c>
      <c r="P21" s="378">
        <f>O21*0.15</f>
        <v>1462.1922689999999</v>
      </c>
      <c r="Q21" s="373">
        <f>$H$21-$N$21-P21</f>
        <v>8219.0503311640005</v>
      </c>
      <c r="R21" s="373">
        <f t="shared" si="15"/>
        <v>19495.896919999999</v>
      </c>
      <c r="S21" s="374">
        <f>(R21-10000)*0.2+(10000-O21)*0.15</f>
        <v>1936.9871150000001</v>
      </c>
      <c r="T21" s="373">
        <f>$H$21-$N$21-S21</f>
        <v>7744.2554851639998</v>
      </c>
      <c r="U21" s="373">
        <f t="shared" si="1"/>
        <v>29243.845379999999</v>
      </c>
      <c r="V21" s="376">
        <f>(U21-25000)*0.27+(25000-R21)*0.2</f>
        <v>2246.6588686</v>
      </c>
      <c r="W21" s="373">
        <f t="shared" si="16"/>
        <v>7434.5837315640001</v>
      </c>
      <c r="X21" s="373">
        <f t="shared" si="2"/>
        <v>38991.793839999998</v>
      </c>
      <c r="Y21" s="376">
        <f t="shared" si="3"/>
        <v>2631.9460841999999</v>
      </c>
      <c r="Z21" s="373">
        <f>$H$21-$N$21-Y21</f>
        <v>7049.2965159639998</v>
      </c>
      <c r="AA21" s="373">
        <f t="shared" si="4"/>
        <v>48739.742299999998</v>
      </c>
      <c r="AB21" s="376">
        <f t="shared" si="17"/>
        <v>2631.9460841999999</v>
      </c>
      <c r="AC21" s="373">
        <f t="shared" si="18"/>
        <v>7049.2965159639998</v>
      </c>
      <c r="AD21" s="373">
        <f t="shared" si="5"/>
        <v>58487.690759999998</v>
      </c>
      <c r="AE21" s="376">
        <f t="shared" si="35"/>
        <v>2631.9460841999999</v>
      </c>
      <c r="AF21" s="373">
        <f t="shared" si="20"/>
        <v>7049.2965159639998</v>
      </c>
      <c r="AG21" s="373">
        <f t="shared" si="6"/>
        <v>68235.639219999997</v>
      </c>
      <c r="AH21" s="376">
        <f t="shared" si="36"/>
        <v>2631.9460841999999</v>
      </c>
      <c r="AI21" s="373">
        <f t="shared" si="21"/>
        <v>7049.2965159639998</v>
      </c>
      <c r="AJ21" s="373">
        <f t="shared" si="7"/>
        <v>77983.587679999997</v>
      </c>
      <c r="AK21" s="376">
        <f t="shared" si="37"/>
        <v>2631.9460841999999</v>
      </c>
      <c r="AL21" s="373">
        <f t="shared" si="22"/>
        <v>7049.2965159639998</v>
      </c>
      <c r="AM21" s="373">
        <f t="shared" si="8"/>
        <v>87731.536139999997</v>
      </c>
      <c r="AN21" s="376">
        <f t="shared" ref="AN21:AN27" si="38">H21*0.27</f>
        <v>2631.9460841999999</v>
      </c>
      <c r="AO21" s="373">
        <f t="shared" si="23"/>
        <v>7049.2965159639998</v>
      </c>
      <c r="AP21" s="373">
        <f t="shared" si="9"/>
        <v>97479.484599999996</v>
      </c>
      <c r="AQ21" s="377">
        <f>(AP21-88000)*0.35+(88000-AM21)*0.27</f>
        <v>3390.3048521999995</v>
      </c>
      <c r="AR21" s="373">
        <f t="shared" si="25"/>
        <v>6290.9377479640007</v>
      </c>
      <c r="AS21" s="373">
        <f t="shared" si="10"/>
        <v>107227.43306</v>
      </c>
      <c r="AT21" s="377">
        <f t="shared" si="26"/>
        <v>3411.7819609999997</v>
      </c>
      <c r="AU21" s="373">
        <f>$H$21-$N$21-AT21</f>
        <v>6269.460639164</v>
      </c>
      <c r="AV21" s="373">
        <f t="shared" si="11"/>
        <v>116975.38152</v>
      </c>
      <c r="AW21" s="377">
        <f t="shared" si="31"/>
        <v>3411.7819609999997</v>
      </c>
      <c r="AX21" s="373">
        <f t="shared" si="28"/>
        <v>6269.460639164</v>
      </c>
      <c r="AY21" s="371"/>
      <c r="BA21" s="358"/>
    </row>
    <row r="22" spans="1:53" s="233" customFormat="1" ht="30" hidden="1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29"/>
        <v>9376.2445719999996</v>
      </c>
      <c r="I22" s="463">
        <v>0.51</v>
      </c>
      <c r="J22" s="362">
        <v>6900</v>
      </c>
      <c r="K22" s="361">
        <f t="shared" si="12"/>
        <v>6864.4730242914638</v>
      </c>
      <c r="L22" s="390"/>
      <c r="M22" s="390">
        <f t="shared" si="0"/>
        <v>7381.1537895607134</v>
      </c>
      <c r="N22" s="372">
        <f t="shared" si="13"/>
        <v>64.252614175199994</v>
      </c>
      <c r="O22" s="373">
        <f t="shared" si="14"/>
        <v>9376.2445719999996</v>
      </c>
      <c r="P22" s="378">
        <f>O22*0.15</f>
        <v>1406.4366857999999</v>
      </c>
      <c r="Q22" s="373">
        <f>$H$22-$N$22-P22</f>
        <v>7905.5552720247997</v>
      </c>
      <c r="R22" s="373">
        <f t="shared" si="15"/>
        <v>18752.489143999999</v>
      </c>
      <c r="S22" s="374">
        <f>(R22-10000)*0.2+(10000-O22)*0.15</f>
        <v>1844.0611430000001</v>
      </c>
      <c r="T22" s="373">
        <f>$H$22-$N$22-S22</f>
        <v>7467.9308148247992</v>
      </c>
      <c r="U22" s="373">
        <f t="shared" si="1"/>
        <v>28128.733715999999</v>
      </c>
      <c r="V22" s="376">
        <f>(U22-25000)*0.27+(25000-R22)*0.2</f>
        <v>2094.2602745200002</v>
      </c>
      <c r="W22" s="373">
        <f t="shared" si="16"/>
        <v>7217.7316833047989</v>
      </c>
      <c r="X22" s="373">
        <f t="shared" si="2"/>
        <v>37504.978287999998</v>
      </c>
      <c r="Y22" s="376">
        <f t="shared" si="3"/>
        <v>2531.5860344400003</v>
      </c>
      <c r="Z22" s="373">
        <f>$H$22-$N$22-Y22</f>
        <v>6780.4059233847984</v>
      </c>
      <c r="AA22" s="373">
        <f t="shared" si="4"/>
        <v>46881.222859999994</v>
      </c>
      <c r="AB22" s="376">
        <f t="shared" si="17"/>
        <v>2531.5860344400003</v>
      </c>
      <c r="AC22" s="373">
        <f t="shared" si="18"/>
        <v>6780.4059233847984</v>
      </c>
      <c r="AD22" s="373">
        <f t="shared" si="5"/>
        <v>56257.467431999998</v>
      </c>
      <c r="AE22" s="376">
        <f t="shared" si="35"/>
        <v>2531.5860344400003</v>
      </c>
      <c r="AF22" s="373">
        <f t="shared" si="20"/>
        <v>6780.4059233847984</v>
      </c>
      <c r="AG22" s="373">
        <f t="shared" si="6"/>
        <v>65633.712004000001</v>
      </c>
      <c r="AH22" s="376">
        <f t="shared" si="36"/>
        <v>2531.5860344400003</v>
      </c>
      <c r="AI22" s="373">
        <f t="shared" si="21"/>
        <v>6780.4059233847984</v>
      </c>
      <c r="AJ22" s="373">
        <f t="shared" si="7"/>
        <v>75009.956575999997</v>
      </c>
      <c r="AK22" s="376">
        <f t="shared" si="37"/>
        <v>2531.5860344400003</v>
      </c>
      <c r="AL22" s="373">
        <f t="shared" si="22"/>
        <v>6780.4059233847984</v>
      </c>
      <c r="AM22" s="373">
        <f t="shared" si="8"/>
        <v>84386.201147999993</v>
      </c>
      <c r="AN22" s="376">
        <f t="shared" si="38"/>
        <v>2531.5860344400003</v>
      </c>
      <c r="AO22" s="373">
        <f t="shared" si="23"/>
        <v>6780.4059233847984</v>
      </c>
      <c r="AP22" s="373">
        <f t="shared" si="9"/>
        <v>93762.445719999989</v>
      </c>
      <c r="AQ22" s="377">
        <f>(AP22-88000)*0.35+(88000-AM22)*0.27</f>
        <v>2992.581692039998</v>
      </c>
      <c r="AR22" s="373">
        <f t="shared" si="25"/>
        <v>6319.4102657848016</v>
      </c>
      <c r="AS22" s="373">
        <f t="shared" si="10"/>
        <v>103138.690292</v>
      </c>
      <c r="AT22" s="377">
        <f t="shared" si="26"/>
        <v>3281.6856001999995</v>
      </c>
      <c r="AU22" s="373">
        <f>$H$22-$N$22-AT22</f>
        <v>6030.3063576247996</v>
      </c>
      <c r="AV22" s="373">
        <f t="shared" si="11"/>
        <v>112514.934864</v>
      </c>
      <c r="AW22" s="377">
        <f t="shared" si="31"/>
        <v>3281.6856001999995</v>
      </c>
      <c r="AX22" s="373">
        <f t="shared" si="28"/>
        <v>6030.3063576247996</v>
      </c>
      <c r="AY22" s="371"/>
      <c r="BA22" s="358"/>
    </row>
    <row r="23" spans="1:53" s="233" customFormat="1" ht="30" hidden="1" customHeight="1" x14ac:dyDescent="0.45">
      <c r="A23" s="730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29"/>
        <v>6309.6874959999996</v>
      </c>
      <c r="I23" s="464">
        <v>0.18</v>
      </c>
      <c r="J23" s="362">
        <v>4900</v>
      </c>
      <c r="K23" s="361">
        <f t="shared" si="12"/>
        <v>4809.5585346064008</v>
      </c>
      <c r="L23" s="390"/>
      <c r="M23" s="390">
        <f t="shared" si="0"/>
        <v>5171.5683167810757</v>
      </c>
      <c r="N23" s="372">
        <f t="shared" si="13"/>
        <v>44.013337473599996</v>
      </c>
      <c r="O23" s="373">
        <f t="shared" si="14"/>
        <v>6309.6874959999996</v>
      </c>
      <c r="P23" s="378">
        <f>O23*0.15</f>
        <v>946.45312439999987</v>
      </c>
      <c r="Q23" s="373">
        <f>$H$23-$N$23-P23</f>
        <v>5319.2210341263999</v>
      </c>
      <c r="R23" s="373">
        <f t="shared" si="15"/>
        <v>12619.374991999999</v>
      </c>
      <c r="S23" s="374">
        <f>(R23-10000)*0.2+(10000-O23)*0.15</f>
        <v>1077.4218739999999</v>
      </c>
      <c r="T23" s="373">
        <f>$H$23-$N$23-S23</f>
        <v>5188.2522845264002</v>
      </c>
      <c r="U23" s="373">
        <f t="shared" si="1"/>
        <v>18929.062488</v>
      </c>
      <c r="V23" s="374">
        <f>H23*0.2</f>
        <v>1261.9374992</v>
      </c>
      <c r="W23" s="373">
        <f t="shared" si="16"/>
        <v>5003.7366593263996</v>
      </c>
      <c r="X23" s="373">
        <f t="shared" si="2"/>
        <v>25238.749983999998</v>
      </c>
      <c r="Y23" s="376">
        <f>(X23-25000)*0.27+(25000-U23)*0.2</f>
        <v>1278.6499980799997</v>
      </c>
      <c r="Z23" s="373">
        <f>$H$23-$N$23-Y23</f>
        <v>4987.0241604463999</v>
      </c>
      <c r="AA23" s="373">
        <f t="shared" si="4"/>
        <v>31548.437479999997</v>
      </c>
      <c r="AB23" s="376">
        <f t="shared" si="17"/>
        <v>1703.61562392</v>
      </c>
      <c r="AC23" s="373">
        <f t="shared" si="18"/>
        <v>4562.0585346063999</v>
      </c>
      <c r="AD23" s="373">
        <f t="shared" si="5"/>
        <v>37858.124975999999</v>
      </c>
      <c r="AE23" s="376">
        <f t="shared" si="35"/>
        <v>1703.61562392</v>
      </c>
      <c r="AF23" s="373">
        <f t="shared" si="20"/>
        <v>4562.0585346063999</v>
      </c>
      <c r="AG23" s="373">
        <f t="shared" si="6"/>
        <v>44167.812471999998</v>
      </c>
      <c r="AH23" s="376">
        <f t="shared" si="36"/>
        <v>1703.61562392</v>
      </c>
      <c r="AI23" s="373">
        <f t="shared" si="21"/>
        <v>4562.0585346063999</v>
      </c>
      <c r="AJ23" s="373">
        <f t="shared" si="7"/>
        <v>50477.499967999996</v>
      </c>
      <c r="AK23" s="376">
        <f t="shared" si="37"/>
        <v>1703.61562392</v>
      </c>
      <c r="AL23" s="373">
        <f t="shared" si="22"/>
        <v>4562.0585346063999</v>
      </c>
      <c r="AM23" s="373">
        <f t="shared" si="8"/>
        <v>56787.187463999995</v>
      </c>
      <c r="AN23" s="376">
        <f t="shared" si="38"/>
        <v>1703.61562392</v>
      </c>
      <c r="AO23" s="373">
        <f t="shared" si="23"/>
        <v>4562.0585346063999</v>
      </c>
      <c r="AP23" s="373">
        <f t="shared" si="9"/>
        <v>63096.874959999994</v>
      </c>
      <c r="AQ23" s="376">
        <f>H23*0.27</f>
        <v>1703.61562392</v>
      </c>
      <c r="AR23" s="373">
        <f t="shared" si="25"/>
        <v>4562.0585346063999</v>
      </c>
      <c r="AS23" s="373">
        <f t="shared" si="10"/>
        <v>69406.562456</v>
      </c>
      <c r="AT23" s="376">
        <f>H23*0.27</f>
        <v>1703.61562392</v>
      </c>
      <c r="AU23" s="373">
        <f>$H$23-$N$23-AT23</f>
        <v>4562.0585346063999</v>
      </c>
      <c r="AV23" s="373">
        <f t="shared" si="11"/>
        <v>75716.249951999998</v>
      </c>
      <c r="AW23" s="376">
        <f t="shared" ref="AW23:AW27" si="39">H23*0.27</f>
        <v>1703.61562392</v>
      </c>
      <c r="AX23" s="373">
        <f t="shared" si="28"/>
        <v>4562.0585346063999</v>
      </c>
      <c r="AY23" s="371"/>
      <c r="BA23" s="358"/>
    </row>
    <row r="24" spans="1:53" s="233" customFormat="1" ht="30" hidden="1" customHeight="1" x14ac:dyDescent="0.45">
      <c r="A24" s="731" t="s">
        <v>172</v>
      </c>
      <c r="B24" s="348" t="s">
        <v>282</v>
      </c>
      <c r="C24" s="317">
        <v>125</v>
      </c>
      <c r="D24" s="238">
        <v>3330.68</v>
      </c>
      <c r="E24" s="238">
        <v>4163.3499999999995</v>
      </c>
      <c r="F24" s="238">
        <f t="shared" ref="F24:F27" si="40">D24+E24</f>
        <v>7494.0299999999988</v>
      </c>
      <c r="G24" s="233">
        <v>359</v>
      </c>
      <c r="H24" s="353">
        <f t="shared" si="29"/>
        <v>6495.1231049999997</v>
      </c>
      <c r="I24" s="463">
        <v>0.91</v>
      </c>
      <c r="J24" s="362">
        <v>5000</v>
      </c>
      <c r="K24" s="361">
        <f t="shared" si="12"/>
        <v>4943.7026541570003</v>
      </c>
      <c r="L24" s="390"/>
      <c r="M24" s="390">
        <f t="shared" si="0"/>
        <v>5315.8093055451618</v>
      </c>
      <c r="N24" s="372">
        <f t="shared" si="13"/>
        <v>45.237212492999994</v>
      </c>
      <c r="O24" s="373">
        <f t="shared" si="14"/>
        <v>6495.1231049999997</v>
      </c>
      <c r="P24" s="378">
        <f t="shared" ref="P24:P28" si="41">O24*0.15</f>
        <v>974.2684657499999</v>
      </c>
      <c r="Q24" s="373">
        <f>$H$24-$N$24-P24</f>
        <v>5475.6174267570004</v>
      </c>
      <c r="R24" s="373">
        <f t="shared" si="15"/>
        <v>12990.246209999999</v>
      </c>
      <c r="S24" s="374">
        <f>(R24-10000)*0.2+(10000-O24)*0.15</f>
        <v>1123.7807762499999</v>
      </c>
      <c r="T24" s="373">
        <f>$H$24-$N$24-S24</f>
        <v>5326.1051162570002</v>
      </c>
      <c r="U24" s="373">
        <f t="shared" si="1"/>
        <v>19485.369315</v>
      </c>
      <c r="V24" s="374">
        <f>H24*0.2</f>
        <v>1299.024621</v>
      </c>
      <c r="W24" s="373">
        <f t="shared" si="16"/>
        <v>5150.8612715069994</v>
      </c>
      <c r="X24" s="373">
        <f t="shared" si="2"/>
        <v>25980.492419999999</v>
      </c>
      <c r="Y24" s="376">
        <f>(X24-25000)*0.27+(25000-U24)*0.2</f>
        <v>1367.6590903999997</v>
      </c>
      <c r="Z24" s="373">
        <f>$H$24-$N$24-Y24</f>
        <v>5082.2268021070004</v>
      </c>
      <c r="AA24" s="373">
        <f t="shared" si="4"/>
        <v>32475.615524999997</v>
      </c>
      <c r="AB24" s="376">
        <f t="shared" si="17"/>
        <v>1753.68323835</v>
      </c>
      <c r="AC24" s="373">
        <f t="shared" si="18"/>
        <v>4696.2026541569994</v>
      </c>
      <c r="AD24" s="373">
        <f t="shared" si="5"/>
        <v>38970.73863</v>
      </c>
      <c r="AE24" s="376">
        <f t="shared" si="35"/>
        <v>1753.68323835</v>
      </c>
      <c r="AF24" s="373">
        <f t="shared" si="20"/>
        <v>4696.2026541569994</v>
      </c>
      <c r="AG24" s="373">
        <f t="shared" si="6"/>
        <v>45465.861734999999</v>
      </c>
      <c r="AH24" s="376">
        <f t="shared" si="36"/>
        <v>1753.68323835</v>
      </c>
      <c r="AI24" s="373">
        <f t="shared" si="21"/>
        <v>4696.2026541569994</v>
      </c>
      <c r="AJ24" s="373">
        <f t="shared" si="7"/>
        <v>51960.984839999997</v>
      </c>
      <c r="AK24" s="376">
        <f t="shared" si="37"/>
        <v>1753.68323835</v>
      </c>
      <c r="AL24" s="373">
        <f t="shared" si="22"/>
        <v>4696.2026541569994</v>
      </c>
      <c r="AM24" s="373">
        <f t="shared" si="8"/>
        <v>58456.107944999996</v>
      </c>
      <c r="AN24" s="376">
        <f t="shared" si="38"/>
        <v>1753.68323835</v>
      </c>
      <c r="AO24" s="373">
        <f t="shared" si="23"/>
        <v>4696.2026541569994</v>
      </c>
      <c r="AP24" s="373">
        <f t="shared" si="9"/>
        <v>64951.231049999995</v>
      </c>
      <c r="AQ24" s="376">
        <f>H24*0.27</f>
        <v>1753.68323835</v>
      </c>
      <c r="AR24" s="373">
        <f t="shared" si="25"/>
        <v>4696.2026541569994</v>
      </c>
      <c r="AS24" s="373">
        <f t="shared" si="10"/>
        <v>71446.354154999994</v>
      </c>
      <c r="AT24" s="376">
        <f>H24*0.27</f>
        <v>1753.68323835</v>
      </c>
      <c r="AU24" s="373">
        <f>$H$24-$N$24-AT24</f>
        <v>4696.2026541569994</v>
      </c>
      <c r="AV24" s="373">
        <f t="shared" si="11"/>
        <v>77941.47726</v>
      </c>
      <c r="AW24" s="376">
        <f t="shared" si="39"/>
        <v>1753.68323835</v>
      </c>
      <c r="AX24" s="373">
        <f t="shared" si="28"/>
        <v>4696.2026541569994</v>
      </c>
      <c r="AY24" s="371"/>
      <c r="BA24" s="358"/>
    </row>
    <row r="25" spans="1:53" s="233" customFormat="1" ht="30" hidden="1" customHeight="1" x14ac:dyDescent="0.45">
      <c r="A25" s="732"/>
      <c r="B25" s="348" t="s">
        <v>281</v>
      </c>
      <c r="C25" s="317">
        <v>125</v>
      </c>
      <c r="D25" s="238">
        <v>3330.68</v>
      </c>
      <c r="E25" s="238">
        <v>4163.3499999999995</v>
      </c>
      <c r="F25" s="238">
        <f t="shared" si="40"/>
        <v>7494.0299999999988</v>
      </c>
      <c r="G25" s="233">
        <v>359</v>
      </c>
      <c r="H25" s="353">
        <f t="shared" si="29"/>
        <v>5798.1783149999992</v>
      </c>
      <c r="I25" s="363">
        <v>0.73</v>
      </c>
      <c r="J25" s="362">
        <v>4500</v>
      </c>
      <c r="K25" s="361">
        <f>((Q25+T25+W25+Z25+AC25+AF25+AI25+AL25+AO25+AR25+AU25+AX25)/12)+60</f>
        <v>4497.2282059364989</v>
      </c>
      <c r="L25" s="390"/>
      <c r="M25" s="390">
        <f t="shared" si="0"/>
        <v>4835.72925369516</v>
      </c>
      <c r="N25" s="372">
        <f t="shared" si="13"/>
        <v>40.637376878999994</v>
      </c>
      <c r="O25" s="373">
        <f t="shared" si="14"/>
        <v>5798.1783149999992</v>
      </c>
      <c r="P25" s="378">
        <f t="shared" si="41"/>
        <v>869.7267472499999</v>
      </c>
      <c r="Q25" s="373">
        <f>$H$24-$N$24-P25</f>
        <v>5580.1591452570001</v>
      </c>
      <c r="R25" s="373">
        <f t="shared" si="15"/>
        <v>11596.356629999998</v>
      </c>
      <c r="S25" s="374">
        <f>(R25-10000)*0.2+(10000-O25)*0.15</f>
        <v>949.5445787499998</v>
      </c>
      <c r="T25" s="373">
        <f>H25-N25-S25</f>
        <v>4807.9963593709999</v>
      </c>
      <c r="U25" s="373">
        <f t="shared" si="1"/>
        <v>17394.534944999999</v>
      </c>
      <c r="V25" s="374">
        <f>H25*0.2</f>
        <v>1159.6356629999998</v>
      </c>
      <c r="W25" s="373">
        <f t="shared" si="16"/>
        <v>4597.9052751209992</v>
      </c>
      <c r="X25" s="373">
        <f t="shared" si="2"/>
        <v>23192.713259999997</v>
      </c>
      <c r="Y25" s="374">
        <f>H25*0.2</f>
        <v>1159.6356629999998</v>
      </c>
      <c r="Z25" s="373">
        <f>H25-N25-Y25</f>
        <v>4597.9052751209992</v>
      </c>
      <c r="AA25" s="373">
        <f t="shared" si="4"/>
        <v>28990.891574999994</v>
      </c>
      <c r="AB25" s="376">
        <f>(AA25-25000)*0.27+(25000-X25)*0.2</f>
        <v>1438.9980732499992</v>
      </c>
      <c r="AC25" s="373">
        <f t="shared" si="18"/>
        <v>4318.5428648710003</v>
      </c>
      <c r="AD25" s="373">
        <f t="shared" si="5"/>
        <v>34789.069889999999</v>
      </c>
      <c r="AE25" s="376">
        <f t="shared" si="35"/>
        <v>1565.5081450499999</v>
      </c>
      <c r="AF25" s="373">
        <f t="shared" si="20"/>
        <v>4192.0327930709991</v>
      </c>
      <c r="AG25" s="373">
        <f t="shared" si="6"/>
        <v>40587.248204999996</v>
      </c>
      <c r="AH25" s="376">
        <f t="shared" si="36"/>
        <v>1565.5081450499999</v>
      </c>
      <c r="AI25" s="373">
        <f t="shared" si="21"/>
        <v>4192.0327930709991</v>
      </c>
      <c r="AJ25" s="373">
        <f t="shared" si="7"/>
        <v>46385.426519999994</v>
      </c>
      <c r="AK25" s="376">
        <f t="shared" si="37"/>
        <v>1565.5081450499999</v>
      </c>
      <c r="AL25" s="373">
        <f t="shared" si="22"/>
        <v>4192.0327930709991</v>
      </c>
      <c r="AM25" s="373">
        <f t="shared" si="8"/>
        <v>52183.604834999991</v>
      </c>
      <c r="AN25" s="376">
        <f t="shared" si="38"/>
        <v>1565.5081450499999</v>
      </c>
      <c r="AO25" s="373">
        <f t="shared" si="23"/>
        <v>4192.0327930709991</v>
      </c>
      <c r="AP25" s="373">
        <f t="shared" si="9"/>
        <v>57981.783149999988</v>
      </c>
      <c r="AQ25" s="376">
        <f>H25*0.27</f>
        <v>1565.5081450499999</v>
      </c>
      <c r="AR25" s="373">
        <f t="shared" si="25"/>
        <v>4192.0327930709991</v>
      </c>
      <c r="AS25" s="373">
        <f t="shared" si="10"/>
        <v>63779.961464999993</v>
      </c>
      <c r="AT25" s="376">
        <f>H25*0.27</f>
        <v>1565.5081450499999</v>
      </c>
      <c r="AU25" s="373">
        <f>H25-N25-AT25</f>
        <v>4192.0327930709991</v>
      </c>
      <c r="AV25" s="373">
        <f t="shared" si="11"/>
        <v>69578.139779999998</v>
      </c>
      <c r="AW25" s="376">
        <f t="shared" si="39"/>
        <v>1565.5081450499999</v>
      </c>
      <c r="AX25" s="373">
        <f t="shared" si="28"/>
        <v>4192.0327930709991</v>
      </c>
      <c r="AY25" s="371"/>
      <c r="BA25" s="358"/>
    </row>
    <row r="26" spans="1:53" s="233" customFormat="1" ht="30" hidden="1" customHeight="1" x14ac:dyDescent="0.45">
      <c r="A26" s="732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40"/>
        <v>7494.0299999999988</v>
      </c>
      <c r="G26" s="233">
        <v>278</v>
      </c>
      <c r="H26" s="353">
        <f>D26+E26*$H$5*$I26-G26</f>
        <v>5066.0760599999994</v>
      </c>
      <c r="I26" s="391">
        <v>0.52</v>
      </c>
      <c r="J26" s="362">
        <v>4000</v>
      </c>
      <c r="K26" s="361">
        <f t="shared" si="12"/>
        <v>3910.4646218039993</v>
      </c>
      <c r="L26" s="390"/>
      <c r="M26" s="390">
        <f t="shared" si="0"/>
        <v>4204.8006686064509</v>
      </c>
      <c r="N26" s="372">
        <f t="shared" si="13"/>
        <v>35.270901995999999</v>
      </c>
      <c r="O26" s="373">
        <f t="shared" si="14"/>
        <v>5066.0760599999994</v>
      </c>
      <c r="P26" s="378">
        <f t="shared" si="41"/>
        <v>759.91140899999994</v>
      </c>
      <c r="Q26" s="373">
        <f>H26-N26-P26</f>
        <v>4270.8937490039989</v>
      </c>
      <c r="R26" s="373">
        <f t="shared" si="15"/>
        <v>10132.152119999999</v>
      </c>
      <c r="S26" s="374">
        <f t="shared" ref="S26" si="42">(R26-10000)*0.2+(10000-O26)*0.15</f>
        <v>766.51901499999985</v>
      </c>
      <c r="T26" s="373">
        <f>H26-N26-S26</f>
        <v>4264.2861430039993</v>
      </c>
      <c r="U26" s="373">
        <f t="shared" si="1"/>
        <v>15198.228179999998</v>
      </c>
      <c r="V26" s="374">
        <f>H26*0.2</f>
        <v>1013.215212</v>
      </c>
      <c r="W26" s="373">
        <f t="shared" si="16"/>
        <v>4017.5899460039991</v>
      </c>
      <c r="X26" s="373">
        <f t="shared" si="2"/>
        <v>20264.304239999998</v>
      </c>
      <c r="Y26" s="374">
        <f>H26*0.2</f>
        <v>1013.215212</v>
      </c>
      <c r="Z26" s="373">
        <f>H26-N26-Y26</f>
        <v>4017.5899460039991</v>
      </c>
      <c r="AA26" s="373">
        <f t="shared" si="4"/>
        <v>25330.380299999997</v>
      </c>
      <c r="AB26" s="376">
        <f>(AA26-25000)*0.27+(25000-X26)*0.2</f>
        <v>1036.3418329999997</v>
      </c>
      <c r="AC26" s="373">
        <f t="shared" si="18"/>
        <v>3994.4633250039997</v>
      </c>
      <c r="AD26" s="373">
        <f t="shared" si="5"/>
        <v>30396.456359999996</v>
      </c>
      <c r="AE26" s="376">
        <f t="shared" si="35"/>
        <v>1367.8405361999999</v>
      </c>
      <c r="AF26" s="373">
        <f t="shared" si="20"/>
        <v>3662.9646218039993</v>
      </c>
      <c r="AG26" s="373">
        <f t="shared" si="6"/>
        <v>35462.532419999996</v>
      </c>
      <c r="AH26" s="376">
        <f t="shared" si="36"/>
        <v>1367.8405361999999</v>
      </c>
      <c r="AI26" s="373">
        <f t="shared" si="21"/>
        <v>3662.9646218039993</v>
      </c>
      <c r="AJ26" s="373">
        <f t="shared" si="7"/>
        <v>40528.608479999995</v>
      </c>
      <c r="AK26" s="376">
        <f t="shared" si="37"/>
        <v>1367.8405361999999</v>
      </c>
      <c r="AL26" s="373">
        <f t="shared" si="22"/>
        <v>3662.9646218039993</v>
      </c>
      <c r="AM26" s="373">
        <f t="shared" si="8"/>
        <v>45594.684539999995</v>
      </c>
      <c r="AN26" s="376">
        <f t="shared" si="38"/>
        <v>1367.8405361999999</v>
      </c>
      <c r="AO26" s="373">
        <f t="shared" si="23"/>
        <v>3662.9646218039993</v>
      </c>
      <c r="AP26" s="373">
        <f t="shared" si="9"/>
        <v>50660.760599999994</v>
      </c>
      <c r="AQ26" s="376">
        <f>H26*0.27</f>
        <v>1367.8405361999999</v>
      </c>
      <c r="AR26" s="373">
        <f t="shared" si="25"/>
        <v>3662.9646218039993</v>
      </c>
      <c r="AS26" s="373">
        <f t="shared" si="10"/>
        <v>55726.836659999994</v>
      </c>
      <c r="AT26" s="376">
        <f>H26*0.27</f>
        <v>1367.8405361999999</v>
      </c>
      <c r="AU26" s="373">
        <f>H26-N26-AT26</f>
        <v>3662.9646218039993</v>
      </c>
      <c r="AV26" s="373">
        <f t="shared" si="11"/>
        <v>60792.912719999993</v>
      </c>
      <c r="AW26" s="376">
        <f t="shared" si="39"/>
        <v>1367.8405361999999</v>
      </c>
      <c r="AX26" s="373">
        <f t="shared" si="28"/>
        <v>3662.9646218039993</v>
      </c>
      <c r="AY26" s="371"/>
      <c r="BA26" s="358"/>
    </row>
    <row r="27" spans="1:53" s="233" customFormat="1" ht="30" hidden="1" customHeight="1" x14ac:dyDescent="0.45">
      <c r="A27" s="733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40"/>
        <v>7494.0299999999988</v>
      </c>
      <c r="G27" s="233">
        <v>278</v>
      </c>
      <c r="H27" s="353">
        <f t="shared" si="29"/>
        <v>3749.6247899999998</v>
      </c>
      <c r="I27" s="391">
        <v>0.18</v>
      </c>
      <c r="J27" s="362">
        <v>3000</v>
      </c>
      <c r="K27" s="361">
        <f t="shared" si="12"/>
        <v>2958.1437730859993</v>
      </c>
      <c r="L27" s="390"/>
      <c r="M27" s="390">
        <f t="shared" si="0"/>
        <v>3180.7997560064509</v>
      </c>
      <c r="N27" s="372">
        <f t="shared" si="13"/>
        <v>26.582323614</v>
      </c>
      <c r="O27" s="373">
        <f t="shared" si="14"/>
        <v>3749.6247899999998</v>
      </c>
      <c r="P27" s="378">
        <f t="shared" si="41"/>
        <v>562.44371849999993</v>
      </c>
      <c r="Q27" s="373">
        <f>H27-N27-P27</f>
        <v>3160.5987478859997</v>
      </c>
      <c r="R27" s="373">
        <f t="shared" si="15"/>
        <v>7499.2495799999997</v>
      </c>
      <c r="S27" s="378">
        <f>H27*0.15</f>
        <v>562.44371849999993</v>
      </c>
      <c r="T27" s="373">
        <f>H27-N27-S27</f>
        <v>3160.5987478859997</v>
      </c>
      <c r="U27" s="373">
        <f t="shared" si="1"/>
        <v>11248.87437</v>
      </c>
      <c r="V27" s="374">
        <f>(U27-10000)*0.2+(10000-R27)*0.15</f>
        <v>624.88743699999998</v>
      </c>
      <c r="W27" s="373">
        <f t="shared" si="16"/>
        <v>3098.155029386</v>
      </c>
      <c r="X27" s="373">
        <f t="shared" si="2"/>
        <v>14998.499159999999</v>
      </c>
      <c r="Y27" s="374">
        <f>H27*0.2</f>
        <v>749.92495800000006</v>
      </c>
      <c r="Z27" s="373">
        <f>H27-N27-Y27</f>
        <v>2973.1175083859998</v>
      </c>
      <c r="AA27" s="373">
        <f t="shared" si="4"/>
        <v>18748.123950000001</v>
      </c>
      <c r="AB27" s="374">
        <f>H27*0.2</f>
        <v>749.92495800000006</v>
      </c>
      <c r="AC27" s="373">
        <f t="shared" si="18"/>
        <v>2973.1175083859998</v>
      </c>
      <c r="AD27" s="373">
        <f t="shared" si="5"/>
        <v>22497.748739999999</v>
      </c>
      <c r="AE27" s="374">
        <f>H27*0.2</f>
        <v>749.92495800000006</v>
      </c>
      <c r="AF27" s="373">
        <f t="shared" si="20"/>
        <v>2973.1175083859998</v>
      </c>
      <c r="AG27" s="373">
        <f t="shared" si="6"/>
        <v>26247.373529999997</v>
      </c>
      <c r="AH27" s="376">
        <f>(AG27-25000)*0.27+(25000-AD27)*0.2</f>
        <v>837.24110509999946</v>
      </c>
      <c r="AI27" s="373">
        <f t="shared" si="21"/>
        <v>2885.8013612860004</v>
      </c>
      <c r="AJ27" s="373">
        <f t="shared" si="7"/>
        <v>29996.998319999999</v>
      </c>
      <c r="AK27" s="376">
        <f t="shared" si="37"/>
        <v>1012.3986933</v>
      </c>
      <c r="AL27" s="373">
        <f t="shared" si="22"/>
        <v>2710.6437730859998</v>
      </c>
      <c r="AM27" s="373">
        <f t="shared" si="8"/>
        <v>33746.62311</v>
      </c>
      <c r="AN27" s="376">
        <f t="shared" si="38"/>
        <v>1012.3986933</v>
      </c>
      <c r="AO27" s="373">
        <f t="shared" si="23"/>
        <v>2710.6437730859998</v>
      </c>
      <c r="AP27" s="373">
        <f t="shared" si="9"/>
        <v>37496.247900000002</v>
      </c>
      <c r="AQ27" s="376">
        <f>H27*0.27</f>
        <v>1012.3986933</v>
      </c>
      <c r="AR27" s="373">
        <f t="shared" si="25"/>
        <v>2710.6437730859998</v>
      </c>
      <c r="AS27" s="373">
        <f t="shared" si="10"/>
        <v>41245.872689999997</v>
      </c>
      <c r="AT27" s="376">
        <f>H27*0.27</f>
        <v>1012.3986933</v>
      </c>
      <c r="AU27" s="373">
        <f>H27-N27-AT27</f>
        <v>2710.6437730859998</v>
      </c>
      <c r="AV27" s="373">
        <f t="shared" si="11"/>
        <v>44995.497479999998</v>
      </c>
      <c r="AW27" s="376">
        <f t="shared" si="39"/>
        <v>1012.3986933</v>
      </c>
      <c r="AX27" s="373">
        <f t="shared" si="28"/>
        <v>2710.6437730859998</v>
      </c>
      <c r="AY27" s="371"/>
      <c r="BA27" s="358"/>
    </row>
    <row r="28" spans="1:53" s="233" customFormat="1" ht="28.5" hidden="1" x14ac:dyDescent="0.45">
      <c r="A28" s="754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29"/>
        <v>2223.6737480000002</v>
      </c>
      <c r="I28" s="391">
        <v>0.54</v>
      </c>
      <c r="J28" s="362">
        <v>1795</v>
      </c>
      <c r="K28" s="361">
        <f t="shared" si="12"/>
        <v>1854.2707893032</v>
      </c>
      <c r="L28" s="390"/>
      <c r="M28" s="390">
        <f t="shared" si="0"/>
        <v>1993.8395583905376</v>
      </c>
      <c r="N28" s="372">
        <f t="shared" si="13"/>
        <v>16.511046736800001</v>
      </c>
      <c r="O28" s="373">
        <f t="shared" si="14"/>
        <v>2223.6737480000002</v>
      </c>
      <c r="P28" s="378">
        <f t="shared" si="41"/>
        <v>333.55106219999999</v>
      </c>
      <c r="Q28" s="373">
        <f>H28-N28-P28</f>
        <v>1873.6116390632003</v>
      </c>
      <c r="R28" s="373">
        <f t="shared" si="15"/>
        <v>4447.3474960000003</v>
      </c>
      <c r="S28" s="378">
        <f>H28*0.15</f>
        <v>333.55106219999999</v>
      </c>
      <c r="T28" s="373">
        <f>H28-N28-S28</f>
        <v>1873.6116390632003</v>
      </c>
      <c r="U28" s="373">
        <f t="shared" si="1"/>
        <v>6671.0212440000005</v>
      </c>
      <c r="V28" s="378">
        <f>H28*0.15</f>
        <v>333.55106219999999</v>
      </c>
      <c r="W28" s="373">
        <f t="shared" si="16"/>
        <v>1873.6116390632003</v>
      </c>
      <c r="X28" s="373">
        <f t="shared" si="2"/>
        <v>8894.6949920000006</v>
      </c>
      <c r="Y28" s="378">
        <f>H28*0.15</f>
        <v>333.55106219999999</v>
      </c>
      <c r="Z28" s="373">
        <f>H28-N28-Y28</f>
        <v>1873.6116390632003</v>
      </c>
      <c r="AA28" s="373">
        <f t="shared" si="4"/>
        <v>11118.368740000002</v>
      </c>
      <c r="AB28" s="374">
        <f>(AA28-10000)*0.2+(10000-X28)*0.15</f>
        <v>389.46949920000026</v>
      </c>
      <c r="AC28" s="373">
        <f t="shared" si="18"/>
        <v>1817.6932020632</v>
      </c>
      <c r="AD28" s="373">
        <f t="shared" si="5"/>
        <v>13342.042488000001</v>
      </c>
      <c r="AE28" s="374">
        <f>H28*0.2</f>
        <v>444.73474960000004</v>
      </c>
      <c r="AF28" s="373">
        <f t="shared" si="20"/>
        <v>1762.4279516632002</v>
      </c>
      <c r="AG28" s="373">
        <f t="shared" si="6"/>
        <v>15565.716236</v>
      </c>
      <c r="AH28" s="374">
        <f>H28*0.2</f>
        <v>444.73474960000004</v>
      </c>
      <c r="AI28" s="373">
        <f t="shared" si="21"/>
        <v>1762.4279516632002</v>
      </c>
      <c r="AJ28" s="373">
        <f t="shared" si="7"/>
        <v>17789.389984000001</v>
      </c>
      <c r="AK28" s="374">
        <f>H28*0.2</f>
        <v>444.73474960000004</v>
      </c>
      <c r="AL28" s="373">
        <f t="shared" si="22"/>
        <v>1762.4279516632002</v>
      </c>
      <c r="AM28" s="373">
        <f t="shared" si="8"/>
        <v>20013.063732000002</v>
      </c>
      <c r="AN28" s="374">
        <f>H28*0.2</f>
        <v>444.73474960000004</v>
      </c>
      <c r="AO28" s="373">
        <f t="shared" si="23"/>
        <v>1762.4279516632002</v>
      </c>
      <c r="AP28" s="373">
        <f t="shared" si="9"/>
        <v>22236.737480000003</v>
      </c>
      <c r="AQ28" s="374">
        <f>H28*0.2</f>
        <v>444.73474960000004</v>
      </c>
      <c r="AR28" s="373">
        <f t="shared" si="25"/>
        <v>1762.4279516632002</v>
      </c>
      <c r="AS28" s="373">
        <f t="shared" si="10"/>
        <v>24460.411228000001</v>
      </c>
      <c r="AT28" s="374">
        <f>H28*0.2</f>
        <v>444.73474960000004</v>
      </c>
      <c r="AU28" s="373">
        <f>H28-N28-AT28</f>
        <v>1762.4279516632002</v>
      </c>
      <c r="AV28" s="373">
        <f t="shared" si="11"/>
        <v>26684.084976000002</v>
      </c>
      <c r="AW28" s="376">
        <f>(AV28-25000)*0.27+(25000-AS28)*0.2</f>
        <v>562.62069792000034</v>
      </c>
      <c r="AX28" s="373">
        <f t="shared" si="28"/>
        <v>1644.5420033431999</v>
      </c>
      <c r="AY28" s="371"/>
      <c r="BA28" s="358"/>
    </row>
    <row r="29" spans="1:53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0.94</v>
      </c>
      <c r="I29" s="363"/>
      <c r="J29" s="233"/>
      <c r="K29" s="361"/>
      <c r="L29" s="390"/>
      <c r="M29" s="390"/>
      <c r="N29" s="372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5"/>
      <c r="BA29" s="358"/>
    </row>
    <row r="30" spans="1:53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43">D30+E30</f>
        <v>24980.1</v>
      </c>
      <c r="G30" s="233">
        <v>359</v>
      </c>
      <c r="H30" s="353">
        <f>D30+E30*$H$29*$I30-G30</f>
        <v>17786.544639999996</v>
      </c>
      <c r="I30" s="363">
        <v>0.7</v>
      </c>
      <c r="J30" s="362">
        <v>11900</v>
      </c>
      <c r="K30" s="361">
        <f t="shared" si="12"/>
        <v>12275.660088042665</v>
      </c>
      <c r="L30" s="390">
        <v>11550.482589181869</v>
      </c>
      <c r="M30" s="390">
        <f>K30-L30</f>
        <v>725.17749886079582</v>
      </c>
      <c r="N30" s="372">
        <f t="shared" si="13"/>
        <v>119.76059462399998</v>
      </c>
      <c r="O30" s="373">
        <f t="shared" ref="O30:O54" si="44">$H30*O$4</f>
        <v>17786.544639999996</v>
      </c>
      <c r="P30" s="374">
        <f t="shared" ref="P30:P44" si="45">(O30-10000)*0.2+10000*0.15</f>
        <v>3057.3089279999995</v>
      </c>
      <c r="Q30" s="373">
        <f t="shared" ref="Q30:Q54" si="46">H30-N30-P30</f>
        <v>14609.475117375998</v>
      </c>
      <c r="R30" s="373">
        <f t="shared" ref="R30:R54" si="47">$H30*2</f>
        <v>35573.089279999993</v>
      </c>
      <c r="S30" s="376">
        <f>(R30-25000)*0.27+(25000-O30)*0.2</f>
        <v>4297.4251775999992</v>
      </c>
      <c r="T30" s="373">
        <f t="shared" ref="T30:T54" si="48">H30-N30-S30</f>
        <v>13369.358867775998</v>
      </c>
      <c r="U30" s="373">
        <f t="shared" ref="U30:U54" si="49">H30*3</f>
        <v>53359.633919999993</v>
      </c>
      <c r="V30" s="376">
        <f t="shared" ref="V30:V34" si="50">O30*0.27</f>
        <v>4802.3670527999993</v>
      </c>
      <c r="W30" s="373">
        <f t="shared" ref="W30:W54" si="51">H30-N30-V30</f>
        <v>12864.416992575996</v>
      </c>
      <c r="X30" s="373">
        <f t="shared" ref="X30:X54" si="52">H30*4</f>
        <v>71146.178559999986</v>
      </c>
      <c r="Y30" s="376">
        <f t="shared" ref="Y30:Y51" si="53">H30*0.27</f>
        <v>4802.3670527999993</v>
      </c>
      <c r="Z30" s="373">
        <f t="shared" ref="Z30:Z54" si="54">H30-N30-Y30</f>
        <v>12864.416992575996</v>
      </c>
      <c r="AA30" s="373">
        <f t="shared" ref="AA30:AA54" si="55">H30*5</f>
        <v>88932.723199999979</v>
      </c>
      <c r="AB30" s="377">
        <f>(AA30-88000)*0.35+(88000-X30)*0.27</f>
        <v>4876.9849087999974</v>
      </c>
      <c r="AC30" s="373">
        <f>H30-N30-AB30</f>
        <v>12789.799136575999</v>
      </c>
      <c r="AD30" s="373">
        <f t="shared" ref="AD30:AD54" si="56">H30*6</f>
        <v>106719.26783999999</v>
      </c>
      <c r="AE30" s="377">
        <f>H30*0.35</f>
        <v>6225.2906239999984</v>
      </c>
      <c r="AF30" s="373">
        <f>H30-N30-AE30</f>
        <v>11441.493421375999</v>
      </c>
      <c r="AG30" s="373">
        <f t="shared" ref="AG30:AG54" si="57">H30*7</f>
        <v>124505.81247999998</v>
      </c>
      <c r="AH30" s="377">
        <f>H30*0.35</f>
        <v>6225.2906239999984</v>
      </c>
      <c r="AI30" s="373">
        <f t="shared" ref="AI30:AI54" si="58">H30-N30-AH30</f>
        <v>11441.493421375999</v>
      </c>
      <c r="AJ30" s="373">
        <f t="shared" ref="AJ30:AJ54" si="59">H30*8</f>
        <v>142292.35711999997</v>
      </c>
      <c r="AK30" s="377">
        <f>H30*0.35</f>
        <v>6225.2906239999984</v>
      </c>
      <c r="AL30" s="373">
        <f t="shared" ref="AL30:AL54" si="60">H30-N30-AK30</f>
        <v>11441.493421375999</v>
      </c>
      <c r="AM30" s="373">
        <f t="shared" ref="AM30:AM54" si="61">H30*9</f>
        <v>160078.90175999998</v>
      </c>
      <c r="AN30" s="377">
        <f>H30*0.35</f>
        <v>6225.2906239999984</v>
      </c>
      <c r="AO30" s="373">
        <f t="shared" ref="AO30:AO54" si="62">H30-N30-AN30</f>
        <v>11441.493421375999</v>
      </c>
      <c r="AP30" s="373">
        <f t="shared" ref="AP30:AP54" si="63">H30*10</f>
        <v>177865.44639999996</v>
      </c>
      <c r="AQ30" s="377">
        <f>H30*0.35</f>
        <v>6225.2906239999984</v>
      </c>
      <c r="AR30" s="373">
        <f>H30-N30-AQ30</f>
        <v>11441.493421375999</v>
      </c>
      <c r="AS30" s="373">
        <f t="shared" ref="AS30:AS54" si="64">H30*11</f>
        <v>195651.99103999996</v>
      </c>
      <c r="AT30" s="377">
        <f t="shared" ref="AT30:AT38" si="65">H30*0.35</f>
        <v>6225.2906239999984</v>
      </c>
      <c r="AU30" s="373">
        <f t="shared" ref="AU30:AU54" si="66">H30-N30-AT30</f>
        <v>11441.493421375999</v>
      </c>
      <c r="AV30" s="373">
        <f t="shared" ref="AV30:AV54" si="67">H30*12</f>
        <v>213438.53567999997</v>
      </c>
      <c r="AW30" s="377">
        <f t="shared" ref="AW30:AW47" si="68">H30*0.35</f>
        <v>6225.2906239999984</v>
      </c>
      <c r="AX30" s="373">
        <f t="shared" ref="AX30:AX54" si="69">H30-N30-AW30</f>
        <v>11441.493421375999</v>
      </c>
      <c r="AY30" s="292"/>
      <c r="BA30" s="358"/>
    </row>
    <row r="31" spans="1:53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43"/>
        <v>24980.1</v>
      </c>
      <c r="G31" s="233">
        <v>359</v>
      </c>
      <c r="H31" s="353">
        <f t="shared" ref="H31:H54" si="70">D31+E31*$H$29*$I31-G31</f>
        <v>17786.544639999996</v>
      </c>
      <c r="I31" s="363">
        <v>0.7</v>
      </c>
      <c r="J31" s="362">
        <v>8000</v>
      </c>
      <c r="K31" s="361">
        <f t="shared" si="12"/>
        <v>12275.660088042665</v>
      </c>
      <c r="L31" s="390">
        <v>7803.7321784010674</v>
      </c>
      <c r="M31" s="390">
        <f t="shared" ref="M31:M54" si="71">K31-L31</f>
        <v>4471.9279096415976</v>
      </c>
      <c r="N31" s="372">
        <f t="shared" si="13"/>
        <v>119.76059462399998</v>
      </c>
      <c r="O31" s="373">
        <f t="shared" si="44"/>
        <v>17786.544639999996</v>
      </c>
      <c r="P31" s="374">
        <f t="shared" si="45"/>
        <v>3057.3089279999995</v>
      </c>
      <c r="Q31" s="373">
        <f t="shared" si="46"/>
        <v>14609.475117375998</v>
      </c>
      <c r="R31" s="373">
        <f t="shared" si="47"/>
        <v>35573.089279999993</v>
      </c>
      <c r="S31" s="376">
        <f t="shared" ref="S31:S34" si="72">(R31-25000)*0.27+(25000-O31)*0.2</f>
        <v>4297.4251775999992</v>
      </c>
      <c r="T31" s="373">
        <f t="shared" si="48"/>
        <v>13369.358867775998</v>
      </c>
      <c r="U31" s="373">
        <f t="shared" si="49"/>
        <v>53359.633919999993</v>
      </c>
      <c r="V31" s="376">
        <f t="shared" si="50"/>
        <v>4802.3670527999993</v>
      </c>
      <c r="W31" s="373">
        <f t="shared" si="51"/>
        <v>12864.416992575996</v>
      </c>
      <c r="X31" s="373">
        <f t="shared" si="52"/>
        <v>71146.178559999986</v>
      </c>
      <c r="Y31" s="376">
        <f t="shared" si="53"/>
        <v>4802.3670527999993</v>
      </c>
      <c r="Z31" s="373">
        <f t="shared" si="54"/>
        <v>12864.416992575996</v>
      </c>
      <c r="AA31" s="373">
        <f t="shared" si="55"/>
        <v>88932.723199999979</v>
      </c>
      <c r="AB31" s="377">
        <f t="shared" ref="AB31:AB32" si="73">(AA31-88000)*0.35+(88000-X31)*0.27</f>
        <v>4876.9849087999974</v>
      </c>
      <c r="AC31" s="373">
        <f t="shared" ref="AC31:AC54" si="74">H31-N31-AB31</f>
        <v>12789.799136575999</v>
      </c>
      <c r="AD31" s="373">
        <f t="shared" si="56"/>
        <v>106719.26783999999</v>
      </c>
      <c r="AE31" s="377">
        <f t="shared" ref="AE31:AE32" si="75">H31*0.35</f>
        <v>6225.2906239999984</v>
      </c>
      <c r="AF31" s="373">
        <f t="shared" ref="AF31:AF54" si="76">H31-N31-AE31</f>
        <v>11441.493421375999</v>
      </c>
      <c r="AG31" s="373">
        <f t="shared" si="57"/>
        <v>124505.81247999998</v>
      </c>
      <c r="AH31" s="377">
        <f t="shared" ref="AH31:AH32" si="77">H31*0.35</f>
        <v>6225.2906239999984</v>
      </c>
      <c r="AI31" s="373">
        <f t="shared" si="58"/>
        <v>11441.493421375999</v>
      </c>
      <c r="AJ31" s="373">
        <f t="shared" si="59"/>
        <v>142292.35711999997</v>
      </c>
      <c r="AK31" s="377">
        <f t="shared" ref="AK31:AK32" si="78">H31*0.35</f>
        <v>6225.2906239999984</v>
      </c>
      <c r="AL31" s="373">
        <f t="shared" si="60"/>
        <v>11441.493421375999</v>
      </c>
      <c r="AM31" s="373">
        <f t="shared" si="61"/>
        <v>160078.90175999998</v>
      </c>
      <c r="AN31" s="377">
        <f t="shared" ref="AN31:AN38" si="79">H31*0.35</f>
        <v>6225.2906239999984</v>
      </c>
      <c r="AO31" s="373">
        <f t="shared" si="62"/>
        <v>11441.493421375999</v>
      </c>
      <c r="AP31" s="373">
        <f t="shared" si="63"/>
        <v>177865.44639999996</v>
      </c>
      <c r="AQ31" s="377">
        <f t="shared" ref="AQ31:AQ44" si="80">H31*0.35</f>
        <v>6225.2906239999984</v>
      </c>
      <c r="AR31" s="373">
        <f t="shared" ref="AR31:AR54" si="81">H31-N31-AQ31</f>
        <v>11441.493421375999</v>
      </c>
      <c r="AS31" s="373">
        <f t="shared" si="64"/>
        <v>195651.99103999996</v>
      </c>
      <c r="AT31" s="377">
        <f t="shared" si="65"/>
        <v>6225.2906239999984</v>
      </c>
      <c r="AU31" s="373">
        <f t="shared" si="66"/>
        <v>11441.493421375999</v>
      </c>
      <c r="AV31" s="373">
        <f t="shared" si="67"/>
        <v>213438.53567999997</v>
      </c>
      <c r="AW31" s="377">
        <f t="shared" si="68"/>
        <v>6225.2906239999984</v>
      </c>
      <c r="AX31" s="373">
        <f t="shared" si="69"/>
        <v>11441.493421375999</v>
      </c>
      <c r="AY31" s="292"/>
      <c r="BA31" s="358"/>
    </row>
    <row r="32" spans="1:53" ht="28.5" x14ac:dyDescent="0.45">
      <c r="A32" s="716"/>
      <c r="B32" s="461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70"/>
        <v>17786.544639999996</v>
      </c>
      <c r="I32" s="363">
        <v>0.7</v>
      </c>
      <c r="J32" s="362">
        <v>6844</v>
      </c>
      <c r="K32" s="361">
        <f t="shared" si="12"/>
        <v>12275.660088042665</v>
      </c>
      <c r="L32" s="390">
        <v>6836.8288465866681</v>
      </c>
      <c r="M32" s="390">
        <f t="shared" si="71"/>
        <v>5438.8312414559969</v>
      </c>
      <c r="N32" s="372">
        <f t="shared" si="13"/>
        <v>119.76059462399998</v>
      </c>
      <c r="O32" s="373">
        <f t="shared" si="44"/>
        <v>17786.544639999996</v>
      </c>
      <c r="P32" s="374">
        <f t="shared" si="45"/>
        <v>3057.3089279999995</v>
      </c>
      <c r="Q32" s="373">
        <f t="shared" si="46"/>
        <v>14609.475117375998</v>
      </c>
      <c r="R32" s="373">
        <f t="shared" si="47"/>
        <v>35573.089279999993</v>
      </c>
      <c r="S32" s="376">
        <f t="shared" si="72"/>
        <v>4297.4251775999992</v>
      </c>
      <c r="T32" s="373">
        <f t="shared" si="48"/>
        <v>13369.358867775998</v>
      </c>
      <c r="U32" s="373">
        <f t="shared" si="49"/>
        <v>53359.633919999993</v>
      </c>
      <c r="V32" s="376">
        <f t="shared" si="50"/>
        <v>4802.3670527999993</v>
      </c>
      <c r="W32" s="373">
        <f t="shared" si="51"/>
        <v>12864.416992575996</v>
      </c>
      <c r="X32" s="373">
        <f t="shared" si="52"/>
        <v>71146.178559999986</v>
      </c>
      <c r="Y32" s="376">
        <f t="shared" si="53"/>
        <v>4802.3670527999993</v>
      </c>
      <c r="Z32" s="373">
        <f t="shared" si="54"/>
        <v>12864.416992575996</v>
      </c>
      <c r="AA32" s="373">
        <f t="shared" si="55"/>
        <v>88932.723199999979</v>
      </c>
      <c r="AB32" s="377">
        <f t="shared" si="73"/>
        <v>4876.9849087999974</v>
      </c>
      <c r="AC32" s="373">
        <f t="shared" si="74"/>
        <v>12789.799136575999</v>
      </c>
      <c r="AD32" s="373">
        <f t="shared" si="56"/>
        <v>106719.26783999999</v>
      </c>
      <c r="AE32" s="377">
        <f t="shared" si="75"/>
        <v>6225.2906239999984</v>
      </c>
      <c r="AF32" s="373">
        <f t="shared" si="76"/>
        <v>11441.493421375999</v>
      </c>
      <c r="AG32" s="373">
        <f t="shared" si="57"/>
        <v>124505.81247999998</v>
      </c>
      <c r="AH32" s="377">
        <f t="shared" si="77"/>
        <v>6225.2906239999984</v>
      </c>
      <c r="AI32" s="373">
        <f t="shared" si="58"/>
        <v>11441.493421375999</v>
      </c>
      <c r="AJ32" s="373">
        <f t="shared" si="59"/>
        <v>142292.35711999997</v>
      </c>
      <c r="AK32" s="377">
        <f t="shared" si="78"/>
        <v>6225.2906239999984</v>
      </c>
      <c r="AL32" s="373">
        <f t="shared" si="60"/>
        <v>11441.493421375999</v>
      </c>
      <c r="AM32" s="373">
        <f t="shared" si="61"/>
        <v>160078.90175999998</v>
      </c>
      <c r="AN32" s="377">
        <f t="shared" si="79"/>
        <v>6225.2906239999984</v>
      </c>
      <c r="AO32" s="373">
        <f t="shared" si="62"/>
        <v>11441.493421375999</v>
      </c>
      <c r="AP32" s="373">
        <f t="shared" si="63"/>
        <v>177865.44639999996</v>
      </c>
      <c r="AQ32" s="377">
        <f t="shared" si="80"/>
        <v>6225.2906239999984</v>
      </c>
      <c r="AR32" s="373">
        <f t="shared" si="81"/>
        <v>11441.493421375999</v>
      </c>
      <c r="AS32" s="373">
        <f t="shared" si="64"/>
        <v>195651.99103999996</v>
      </c>
      <c r="AT32" s="377">
        <f t="shared" si="65"/>
        <v>6225.2906239999984</v>
      </c>
      <c r="AU32" s="373">
        <f t="shared" si="66"/>
        <v>11441.493421375999</v>
      </c>
      <c r="AV32" s="373">
        <f t="shared" si="67"/>
        <v>213438.53567999997</v>
      </c>
      <c r="AW32" s="377">
        <f t="shared" si="68"/>
        <v>6225.2906239999984</v>
      </c>
      <c r="AX32" s="373">
        <f t="shared" si="69"/>
        <v>11441.493421375999</v>
      </c>
      <c r="AY32" s="292"/>
      <c r="BA32" s="358"/>
    </row>
    <row r="33" spans="1:53" ht="28.5" x14ac:dyDescent="0.45">
      <c r="A33" s="716"/>
      <c r="B33" s="347" t="s">
        <v>32</v>
      </c>
      <c r="C33" s="283">
        <v>450</v>
      </c>
      <c r="D33" s="238">
        <v>4996.0199999999995</v>
      </c>
      <c r="E33" s="238">
        <v>14988.06</v>
      </c>
      <c r="F33" s="238">
        <f t="shared" si="43"/>
        <v>19984.079999999998</v>
      </c>
      <c r="G33" s="233">
        <v>359</v>
      </c>
      <c r="H33" s="353">
        <f t="shared" si="70"/>
        <v>14499.163479999999</v>
      </c>
      <c r="I33" s="363">
        <v>0.7</v>
      </c>
      <c r="J33" s="362">
        <v>9500</v>
      </c>
      <c r="K33" s="361">
        <f t="shared" si="12"/>
        <v>10160.559049698666</v>
      </c>
      <c r="L33" s="390">
        <v>9254.0871761226681</v>
      </c>
      <c r="M33" s="390">
        <f t="shared" si="71"/>
        <v>906.47187357599796</v>
      </c>
      <c r="N33" s="372">
        <f t="shared" si="13"/>
        <v>98.063878967999997</v>
      </c>
      <c r="O33" s="373">
        <f t="shared" si="44"/>
        <v>14499.163479999999</v>
      </c>
      <c r="P33" s="374">
        <f t="shared" si="45"/>
        <v>2399.8326959999999</v>
      </c>
      <c r="Q33" s="373">
        <f t="shared" si="46"/>
        <v>12001.266905032</v>
      </c>
      <c r="R33" s="373">
        <f t="shared" si="47"/>
        <v>28998.326959999999</v>
      </c>
      <c r="S33" s="376">
        <f t="shared" si="72"/>
        <v>3179.7155831999999</v>
      </c>
      <c r="T33" s="373">
        <f t="shared" si="48"/>
        <v>11221.384017831999</v>
      </c>
      <c r="U33" s="373">
        <f t="shared" si="49"/>
        <v>43497.490439999994</v>
      </c>
      <c r="V33" s="376">
        <f t="shared" si="50"/>
        <v>3914.7741396000001</v>
      </c>
      <c r="W33" s="373">
        <f t="shared" si="51"/>
        <v>10486.325461431999</v>
      </c>
      <c r="X33" s="373">
        <f t="shared" si="52"/>
        <v>57996.653919999997</v>
      </c>
      <c r="Y33" s="376">
        <f t="shared" si="53"/>
        <v>3914.7741396000001</v>
      </c>
      <c r="Z33" s="373">
        <f t="shared" si="54"/>
        <v>10486.325461431999</v>
      </c>
      <c r="AA33" s="373">
        <f t="shared" si="55"/>
        <v>72495.8174</v>
      </c>
      <c r="AB33" s="376">
        <f t="shared" ref="AB33:AB51" si="82">H33*0.27</f>
        <v>3914.7741396000001</v>
      </c>
      <c r="AC33" s="373">
        <f t="shared" si="74"/>
        <v>10486.325461431999</v>
      </c>
      <c r="AD33" s="373">
        <f t="shared" si="56"/>
        <v>86994.980879999988</v>
      </c>
      <c r="AE33" s="376">
        <f t="shared" ref="AE33:AE38" si="83">H33*0.27</f>
        <v>3914.7741396000001</v>
      </c>
      <c r="AF33" s="373">
        <f t="shared" si="76"/>
        <v>10486.325461431999</v>
      </c>
      <c r="AG33" s="373">
        <f t="shared" si="57"/>
        <v>101494.14435999999</v>
      </c>
      <c r="AH33" s="377">
        <f>(AG33-88000)*0.35+(88000-AD33)*0.27</f>
        <v>4994.3056883999998</v>
      </c>
      <c r="AI33" s="373">
        <f t="shared" si="58"/>
        <v>9406.7939126319998</v>
      </c>
      <c r="AJ33" s="373">
        <f t="shared" si="59"/>
        <v>115993.30783999999</v>
      </c>
      <c r="AK33" s="377">
        <f>H33*0.35</f>
        <v>5074.7072179999996</v>
      </c>
      <c r="AL33" s="373">
        <f t="shared" si="60"/>
        <v>9326.392383032</v>
      </c>
      <c r="AM33" s="373">
        <f t="shared" si="61"/>
        <v>130492.47132</v>
      </c>
      <c r="AN33" s="377">
        <f t="shared" si="79"/>
        <v>5074.7072179999996</v>
      </c>
      <c r="AO33" s="373">
        <f t="shared" si="62"/>
        <v>9326.392383032</v>
      </c>
      <c r="AP33" s="373">
        <f t="shared" si="63"/>
        <v>144991.6348</v>
      </c>
      <c r="AQ33" s="377">
        <f t="shared" si="80"/>
        <v>5074.7072179999996</v>
      </c>
      <c r="AR33" s="373">
        <f t="shared" si="81"/>
        <v>9326.392383032</v>
      </c>
      <c r="AS33" s="373">
        <f t="shared" si="64"/>
        <v>159490.79827999999</v>
      </c>
      <c r="AT33" s="377">
        <f t="shared" si="65"/>
        <v>5074.7072179999996</v>
      </c>
      <c r="AU33" s="373">
        <f t="shared" si="66"/>
        <v>9326.392383032</v>
      </c>
      <c r="AV33" s="373">
        <f t="shared" si="67"/>
        <v>173989.96175999998</v>
      </c>
      <c r="AW33" s="377">
        <f t="shared" si="68"/>
        <v>5074.7072179999996</v>
      </c>
      <c r="AX33" s="373">
        <f t="shared" si="69"/>
        <v>9326.392383032</v>
      </c>
      <c r="AY33" s="292"/>
      <c r="BA33" s="358"/>
    </row>
    <row r="34" spans="1:53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43"/>
        <v>19984.079999999998</v>
      </c>
      <c r="G34" s="233">
        <v>359</v>
      </c>
      <c r="H34" s="353">
        <f t="shared" si="70"/>
        <v>14499.163479999999</v>
      </c>
      <c r="I34" s="363">
        <v>0.7</v>
      </c>
      <c r="J34" s="362">
        <v>8300</v>
      </c>
      <c r="K34" s="361">
        <f t="shared" si="12"/>
        <v>10160.559049698666</v>
      </c>
      <c r="L34" s="390">
        <v>8166.3209278314671</v>
      </c>
      <c r="M34" s="390">
        <f t="shared" si="71"/>
        <v>1994.238121867199</v>
      </c>
      <c r="N34" s="372">
        <f t="shared" si="13"/>
        <v>98.063878967999997</v>
      </c>
      <c r="O34" s="373">
        <f t="shared" si="44"/>
        <v>14499.163479999999</v>
      </c>
      <c r="P34" s="374">
        <f t="shared" si="45"/>
        <v>2399.8326959999999</v>
      </c>
      <c r="Q34" s="373">
        <f t="shared" si="46"/>
        <v>12001.266905032</v>
      </c>
      <c r="R34" s="373">
        <f t="shared" si="47"/>
        <v>28998.326959999999</v>
      </c>
      <c r="S34" s="376">
        <f t="shared" si="72"/>
        <v>3179.7155831999999</v>
      </c>
      <c r="T34" s="373">
        <f t="shared" si="48"/>
        <v>11221.384017831999</v>
      </c>
      <c r="U34" s="373">
        <f t="shared" si="49"/>
        <v>43497.490439999994</v>
      </c>
      <c r="V34" s="376">
        <f t="shared" si="50"/>
        <v>3914.7741396000001</v>
      </c>
      <c r="W34" s="373">
        <f t="shared" si="51"/>
        <v>10486.325461431999</v>
      </c>
      <c r="X34" s="373">
        <f t="shared" si="52"/>
        <v>57996.653919999997</v>
      </c>
      <c r="Y34" s="376">
        <f t="shared" si="53"/>
        <v>3914.7741396000001</v>
      </c>
      <c r="Z34" s="373">
        <f t="shared" si="54"/>
        <v>10486.325461431999</v>
      </c>
      <c r="AA34" s="373">
        <f t="shared" si="55"/>
        <v>72495.8174</v>
      </c>
      <c r="AB34" s="376">
        <f t="shared" si="82"/>
        <v>3914.7741396000001</v>
      </c>
      <c r="AC34" s="373">
        <f t="shared" si="74"/>
        <v>10486.325461431999</v>
      </c>
      <c r="AD34" s="373">
        <f t="shared" si="56"/>
        <v>86994.980879999988</v>
      </c>
      <c r="AE34" s="376">
        <f t="shared" si="83"/>
        <v>3914.7741396000001</v>
      </c>
      <c r="AF34" s="373">
        <f t="shared" si="76"/>
        <v>10486.325461431999</v>
      </c>
      <c r="AG34" s="373">
        <f t="shared" si="57"/>
        <v>101494.14435999999</v>
      </c>
      <c r="AH34" s="377">
        <f>(AG34-88000)*0.35+(88000-AD34)*0.27</f>
        <v>4994.3056883999998</v>
      </c>
      <c r="AI34" s="373">
        <f t="shared" si="58"/>
        <v>9406.7939126319998</v>
      </c>
      <c r="AJ34" s="373">
        <f t="shared" si="59"/>
        <v>115993.30783999999</v>
      </c>
      <c r="AK34" s="377">
        <f>H34*0.35</f>
        <v>5074.7072179999996</v>
      </c>
      <c r="AL34" s="373">
        <f t="shared" si="60"/>
        <v>9326.392383032</v>
      </c>
      <c r="AM34" s="373">
        <f t="shared" si="61"/>
        <v>130492.47132</v>
      </c>
      <c r="AN34" s="377">
        <f t="shared" si="79"/>
        <v>5074.7072179999996</v>
      </c>
      <c r="AO34" s="373">
        <f t="shared" si="62"/>
        <v>9326.392383032</v>
      </c>
      <c r="AP34" s="373">
        <f t="shared" si="63"/>
        <v>144991.6348</v>
      </c>
      <c r="AQ34" s="377">
        <f t="shared" si="80"/>
        <v>5074.7072179999996</v>
      </c>
      <c r="AR34" s="373">
        <f t="shared" si="81"/>
        <v>9326.392383032</v>
      </c>
      <c r="AS34" s="373">
        <f t="shared" si="64"/>
        <v>159490.79827999999</v>
      </c>
      <c r="AT34" s="377">
        <f t="shared" si="65"/>
        <v>5074.7072179999996</v>
      </c>
      <c r="AU34" s="373">
        <f t="shared" si="66"/>
        <v>9326.392383032</v>
      </c>
      <c r="AV34" s="373">
        <f t="shared" si="67"/>
        <v>173989.96175999998</v>
      </c>
      <c r="AW34" s="377">
        <f t="shared" si="68"/>
        <v>5074.7072179999996</v>
      </c>
      <c r="AX34" s="373">
        <f t="shared" si="69"/>
        <v>9326.392383032</v>
      </c>
      <c r="AY34" s="292"/>
      <c r="BA34" s="358"/>
    </row>
    <row r="35" spans="1:53" ht="28.5" x14ac:dyDescent="0.45">
      <c r="A35" s="716"/>
      <c r="B35" s="461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43"/>
        <v>14988.059999999998</v>
      </c>
      <c r="G35" s="233">
        <v>359</v>
      </c>
      <c r="H35" s="353">
        <f t="shared" si="70"/>
        <v>11211.782319999998</v>
      </c>
      <c r="I35" s="363">
        <v>0.7</v>
      </c>
      <c r="J35" s="362">
        <v>7300</v>
      </c>
      <c r="K35" s="361">
        <f t="shared" si="12"/>
        <v>8045.4580113546654</v>
      </c>
      <c r="L35" s="390">
        <v>7138.9861377786683</v>
      </c>
      <c r="M35" s="390">
        <f t="shared" si="71"/>
        <v>906.47187357599705</v>
      </c>
      <c r="N35" s="372">
        <f t="shared" si="13"/>
        <v>76.367163311999988</v>
      </c>
      <c r="O35" s="373">
        <f t="shared" si="44"/>
        <v>11211.782319999998</v>
      </c>
      <c r="P35" s="374">
        <f t="shared" si="45"/>
        <v>1742.3564639999997</v>
      </c>
      <c r="Q35" s="373">
        <f t="shared" si="46"/>
        <v>9393.0586926879987</v>
      </c>
      <c r="R35" s="373">
        <f t="shared" si="47"/>
        <v>22423.564639999997</v>
      </c>
      <c r="S35" s="374">
        <f>H35*0.2</f>
        <v>2242.356464</v>
      </c>
      <c r="T35" s="373">
        <f t="shared" si="48"/>
        <v>8893.0586926879987</v>
      </c>
      <c r="U35" s="373">
        <f t="shared" si="49"/>
        <v>33635.346959999995</v>
      </c>
      <c r="V35" s="376">
        <f>(U35-25000)*0.27+(25000-R35)*0.2</f>
        <v>2846.8307511999992</v>
      </c>
      <c r="W35" s="373">
        <f t="shared" si="51"/>
        <v>8288.5844054879999</v>
      </c>
      <c r="X35" s="373">
        <f t="shared" si="52"/>
        <v>44847.129279999994</v>
      </c>
      <c r="Y35" s="376">
        <f t="shared" si="53"/>
        <v>3027.1812263999996</v>
      </c>
      <c r="Z35" s="373">
        <f t="shared" si="54"/>
        <v>8108.2339302879991</v>
      </c>
      <c r="AA35" s="373">
        <f t="shared" si="55"/>
        <v>56058.911599999992</v>
      </c>
      <c r="AB35" s="376">
        <f t="shared" si="82"/>
        <v>3027.1812263999996</v>
      </c>
      <c r="AC35" s="373">
        <f t="shared" si="74"/>
        <v>8108.2339302879991</v>
      </c>
      <c r="AD35" s="373">
        <f t="shared" si="56"/>
        <v>67270.693919999991</v>
      </c>
      <c r="AE35" s="376">
        <f t="shared" si="83"/>
        <v>3027.1812263999996</v>
      </c>
      <c r="AF35" s="373">
        <f t="shared" si="76"/>
        <v>8108.2339302879991</v>
      </c>
      <c r="AG35" s="373">
        <f t="shared" si="57"/>
        <v>78482.476239999989</v>
      </c>
      <c r="AH35" s="376">
        <f>H35*0.27</f>
        <v>3027.1812263999996</v>
      </c>
      <c r="AI35" s="373">
        <f t="shared" si="58"/>
        <v>8108.2339302879991</v>
      </c>
      <c r="AJ35" s="373">
        <f t="shared" si="59"/>
        <v>89694.258559999987</v>
      </c>
      <c r="AK35" s="377">
        <f>(AJ35-88000)*0.35+(88000-AG35)*0.27</f>
        <v>3162.7219111999984</v>
      </c>
      <c r="AL35" s="373">
        <f t="shared" si="60"/>
        <v>7972.6932454880007</v>
      </c>
      <c r="AM35" s="373">
        <f t="shared" si="61"/>
        <v>100906.04087999999</v>
      </c>
      <c r="AN35" s="377">
        <f t="shared" si="79"/>
        <v>3924.1238119999994</v>
      </c>
      <c r="AO35" s="373">
        <f t="shared" si="62"/>
        <v>7211.2913446879993</v>
      </c>
      <c r="AP35" s="373">
        <f t="shared" si="63"/>
        <v>112117.82319999998</v>
      </c>
      <c r="AQ35" s="377">
        <f t="shared" si="80"/>
        <v>3924.1238119999994</v>
      </c>
      <c r="AR35" s="373">
        <f t="shared" si="81"/>
        <v>7211.2913446879993</v>
      </c>
      <c r="AS35" s="373">
        <f t="shared" si="64"/>
        <v>123329.60551999998</v>
      </c>
      <c r="AT35" s="377">
        <f t="shared" si="65"/>
        <v>3924.1238119999994</v>
      </c>
      <c r="AU35" s="373">
        <f t="shared" si="66"/>
        <v>7211.2913446879993</v>
      </c>
      <c r="AV35" s="373">
        <f t="shared" si="67"/>
        <v>134541.38783999998</v>
      </c>
      <c r="AW35" s="377">
        <f t="shared" si="68"/>
        <v>3924.1238119999994</v>
      </c>
      <c r="AX35" s="373">
        <f t="shared" si="69"/>
        <v>7211.2913446879993</v>
      </c>
      <c r="AY35" s="292"/>
      <c r="BA35" s="358"/>
    </row>
    <row r="36" spans="1:53" ht="28.5" x14ac:dyDescent="0.45">
      <c r="A36" s="716"/>
      <c r="B36" s="461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43"/>
        <v>14988.059999999998</v>
      </c>
      <c r="G36" s="233">
        <v>359</v>
      </c>
      <c r="H36" s="353">
        <f t="shared" si="70"/>
        <v>11211.782319999998</v>
      </c>
      <c r="I36" s="363">
        <v>0.7</v>
      </c>
      <c r="J36" s="362">
        <v>7100</v>
      </c>
      <c r="K36" s="361">
        <f t="shared" si="12"/>
        <v>8045.4580113546654</v>
      </c>
      <c r="L36" s="390">
        <v>7138.9861377786683</v>
      </c>
      <c r="M36" s="390">
        <f t="shared" si="71"/>
        <v>906.47187357599705</v>
      </c>
      <c r="N36" s="372">
        <f t="shared" si="13"/>
        <v>76.367163311999988</v>
      </c>
      <c r="O36" s="373">
        <f t="shared" si="44"/>
        <v>11211.782319999998</v>
      </c>
      <c r="P36" s="374">
        <f t="shared" si="45"/>
        <v>1742.3564639999997</v>
      </c>
      <c r="Q36" s="373">
        <f t="shared" si="46"/>
        <v>9393.0586926879987</v>
      </c>
      <c r="R36" s="373">
        <f t="shared" si="47"/>
        <v>22423.564639999997</v>
      </c>
      <c r="S36" s="374">
        <f t="shared" ref="S36:S38" si="84">H36*0.2</f>
        <v>2242.356464</v>
      </c>
      <c r="T36" s="373">
        <f t="shared" si="48"/>
        <v>8893.0586926879987</v>
      </c>
      <c r="U36" s="373">
        <f t="shared" si="49"/>
        <v>33635.346959999995</v>
      </c>
      <c r="V36" s="376">
        <f>(U36-25000)*0.27+(25000-R36)*0.2</f>
        <v>2846.8307511999992</v>
      </c>
      <c r="W36" s="373">
        <f t="shared" si="51"/>
        <v>8288.5844054879999</v>
      </c>
      <c r="X36" s="373">
        <f t="shared" si="52"/>
        <v>44847.129279999994</v>
      </c>
      <c r="Y36" s="376">
        <f t="shared" si="53"/>
        <v>3027.1812263999996</v>
      </c>
      <c r="Z36" s="373">
        <f t="shared" si="54"/>
        <v>8108.2339302879991</v>
      </c>
      <c r="AA36" s="373">
        <f t="shared" si="55"/>
        <v>56058.911599999992</v>
      </c>
      <c r="AB36" s="376">
        <f t="shared" si="82"/>
        <v>3027.1812263999996</v>
      </c>
      <c r="AC36" s="373">
        <f t="shared" si="74"/>
        <v>8108.2339302879991</v>
      </c>
      <c r="AD36" s="373">
        <f t="shared" si="56"/>
        <v>67270.693919999991</v>
      </c>
      <c r="AE36" s="376">
        <f t="shared" si="83"/>
        <v>3027.1812263999996</v>
      </c>
      <c r="AF36" s="373">
        <f t="shared" si="76"/>
        <v>8108.2339302879991</v>
      </c>
      <c r="AG36" s="373">
        <f t="shared" si="57"/>
        <v>78482.476239999989</v>
      </c>
      <c r="AH36" s="376">
        <f>H36*0.27</f>
        <v>3027.1812263999996</v>
      </c>
      <c r="AI36" s="373">
        <f t="shared" si="58"/>
        <v>8108.2339302879991</v>
      </c>
      <c r="AJ36" s="373">
        <f t="shared" si="59"/>
        <v>89694.258559999987</v>
      </c>
      <c r="AK36" s="377">
        <f t="shared" ref="AK36:AK38" si="85">(AJ36-88000)*0.35+(88000-AG36)*0.27</f>
        <v>3162.7219111999984</v>
      </c>
      <c r="AL36" s="373">
        <f t="shared" si="60"/>
        <v>7972.6932454880007</v>
      </c>
      <c r="AM36" s="373">
        <f t="shared" si="61"/>
        <v>100906.04087999999</v>
      </c>
      <c r="AN36" s="377">
        <f t="shared" si="79"/>
        <v>3924.1238119999994</v>
      </c>
      <c r="AO36" s="373">
        <f t="shared" si="62"/>
        <v>7211.2913446879993</v>
      </c>
      <c r="AP36" s="373">
        <f t="shared" si="63"/>
        <v>112117.82319999998</v>
      </c>
      <c r="AQ36" s="377">
        <f t="shared" si="80"/>
        <v>3924.1238119999994</v>
      </c>
      <c r="AR36" s="373">
        <f t="shared" si="81"/>
        <v>7211.2913446879993</v>
      </c>
      <c r="AS36" s="373">
        <f t="shared" si="64"/>
        <v>123329.60551999998</v>
      </c>
      <c r="AT36" s="377">
        <f t="shared" si="65"/>
        <v>3924.1238119999994</v>
      </c>
      <c r="AU36" s="373">
        <f t="shared" si="66"/>
        <v>7211.2913446879993</v>
      </c>
      <c r="AV36" s="373">
        <f t="shared" si="67"/>
        <v>134541.38783999998</v>
      </c>
      <c r="AW36" s="377">
        <f t="shared" si="68"/>
        <v>3924.1238119999994</v>
      </c>
      <c r="AX36" s="373">
        <f t="shared" si="69"/>
        <v>7211.2913446879993</v>
      </c>
      <c r="AY36" s="292"/>
      <c r="BA36" s="358"/>
    </row>
    <row r="37" spans="1:53" ht="28.5" x14ac:dyDescent="0.45">
      <c r="A37" s="716"/>
      <c r="B37" s="461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43"/>
        <v>14988.059999999998</v>
      </c>
      <c r="G37" s="233">
        <v>359</v>
      </c>
      <c r="H37" s="353">
        <f t="shared" si="70"/>
        <v>11211.782319999998</v>
      </c>
      <c r="I37" s="363">
        <v>0.7</v>
      </c>
      <c r="J37" s="362">
        <v>6900</v>
      </c>
      <c r="K37" s="361">
        <f t="shared" si="12"/>
        <v>8045.4580113546654</v>
      </c>
      <c r="L37" s="390">
        <v>6836.8288465866681</v>
      </c>
      <c r="M37" s="390">
        <f t="shared" si="71"/>
        <v>1208.6291647679973</v>
      </c>
      <c r="N37" s="372">
        <f t="shared" si="13"/>
        <v>76.367163311999988</v>
      </c>
      <c r="O37" s="373">
        <f t="shared" si="44"/>
        <v>11211.782319999998</v>
      </c>
      <c r="P37" s="374">
        <f t="shared" si="45"/>
        <v>1742.3564639999997</v>
      </c>
      <c r="Q37" s="373">
        <f t="shared" si="46"/>
        <v>9393.0586926879987</v>
      </c>
      <c r="R37" s="373">
        <f t="shared" si="47"/>
        <v>22423.564639999997</v>
      </c>
      <c r="S37" s="374">
        <f t="shared" si="84"/>
        <v>2242.356464</v>
      </c>
      <c r="T37" s="373">
        <f t="shared" si="48"/>
        <v>8893.0586926879987</v>
      </c>
      <c r="U37" s="373">
        <f t="shared" si="49"/>
        <v>33635.346959999995</v>
      </c>
      <c r="V37" s="376">
        <f>(U37-25000)*0.27+(25000-R37)*0.2</f>
        <v>2846.8307511999992</v>
      </c>
      <c r="W37" s="373">
        <f t="shared" si="51"/>
        <v>8288.5844054879999</v>
      </c>
      <c r="X37" s="373">
        <f t="shared" si="52"/>
        <v>44847.129279999994</v>
      </c>
      <c r="Y37" s="376">
        <f t="shared" si="53"/>
        <v>3027.1812263999996</v>
      </c>
      <c r="Z37" s="373">
        <f t="shared" si="54"/>
        <v>8108.2339302879991</v>
      </c>
      <c r="AA37" s="373">
        <f t="shared" si="55"/>
        <v>56058.911599999992</v>
      </c>
      <c r="AB37" s="376">
        <f t="shared" si="82"/>
        <v>3027.1812263999996</v>
      </c>
      <c r="AC37" s="373">
        <f t="shared" si="74"/>
        <v>8108.2339302879991</v>
      </c>
      <c r="AD37" s="373">
        <f t="shared" si="56"/>
        <v>67270.693919999991</v>
      </c>
      <c r="AE37" s="376">
        <f t="shared" si="83"/>
        <v>3027.1812263999996</v>
      </c>
      <c r="AF37" s="373">
        <f t="shared" si="76"/>
        <v>8108.2339302879991</v>
      </c>
      <c r="AG37" s="373">
        <f t="shared" si="57"/>
        <v>78482.476239999989</v>
      </c>
      <c r="AH37" s="376">
        <f>H37*0.27</f>
        <v>3027.1812263999996</v>
      </c>
      <c r="AI37" s="373">
        <f t="shared" si="58"/>
        <v>8108.2339302879991</v>
      </c>
      <c r="AJ37" s="373">
        <f t="shared" si="59"/>
        <v>89694.258559999987</v>
      </c>
      <c r="AK37" s="377">
        <f t="shared" si="85"/>
        <v>3162.7219111999984</v>
      </c>
      <c r="AL37" s="373">
        <f t="shared" si="60"/>
        <v>7972.6932454880007</v>
      </c>
      <c r="AM37" s="373">
        <f t="shared" si="61"/>
        <v>100906.04087999999</v>
      </c>
      <c r="AN37" s="377">
        <f t="shared" si="79"/>
        <v>3924.1238119999994</v>
      </c>
      <c r="AO37" s="373">
        <f t="shared" si="62"/>
        <v>7211.2913446879993</v>
      </c>
      <c r="AP37" s="373">
        <f t="shared" si="63"/>
        <v>112117.82319999998</v>
      </c>
      <c r="AQ37" s="377">
        <f t="shared" si="80"/>
        <v>3924.1238119999994</v>
      </c>
      <c r="AR37" s="373">
        <f t="shared" si="81"/>
        <v>7211.2913446879993</v>
      </c>
      <c r="AS37" s="373">
        <f t="shared" si="64"/>
        <v>123329.60551999998</v>
      </c>
      <c r="AT37" s="377">
        <f t="shared" si="65"/>
        <v>3924.1238119999994</v>
      </c>
      <c r="AU37" s="373">
        <f t="shared" si="66"/>
        <v>7211.2913446879993</v>
      </c>
      <c r="AV37" s="373">
        <f t="shared" si="67"/>
        <v>134541.38783999998</v>
      </c>
      <c r="AW37" s="377">
        <f t="shared" si="68"/>
        <v>3924.1238119999994</v>
      </c>
      <c r="AX37" s="373">
        <f t="shared" si="69"/>
        <v>7211.2913446879993</v>
      </c>
      <c r="AY37" s="292"/>
      <c r="BA37" s="358"/>
    </row>
    <row r="38" spans="1:53" ht="28.5" x14ac:dyDescent="0.45">
      <c r="A38" s="716"/>
      <c r="B38" s="392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43"/>
        <v>14988.059999999998</v>
      </c>
      <c r="G38" s="233">
        <v>359</v>
      </c>
      <c r="H38" s="353">
        <f t="shared" si="70"/>
        <v>11211.782319999998</v>
      </c>
      <c r="I38" s="363">
        <v>0.7</v>
      </c>
      <c r="J38" s="362">
        <v>4900</v>
      </c>
      <c r="K38" s="361">
        <f t="shared" si="12"/>
        <v>8045.4580113546654</v>
      </c>
      <c r="L38" s="390">
        <v>4890.514842049598</v>
      </c>
      <c r="M38" s="390">
        <f t="shared" si="71"/>
        <v>3154.9431693050674</v>
      </c>
      <c r="N38" s="372">
        <f t="shared" si="13"/>
        <v>76.367163311999988</v>
      </c>
      <c r="O38" s="373">
        <f t="shared" si="44"/>
        <v>11211.782319999998</v>
      </c>
      <c r="P38" s="374">
        <f t="shared" si="45"/>
        <v>1742.3564639999997</v>
      </c>
      <c r="Q38" s="373">
        <f t="shared" si="46"/>
        <v>9393.0586926879987</v>
      </c>
      <c r="R38" s="373">
        <f t="shared" si="47"/>
        <v>22423.564639999997</v>
      </c>
      <c r="S38" s="374">
        <f t="shared" si="84"/>
        <v>2242.356464</v>
      </c>
      <c r="T38" s="373">
        <f t="shared" si="48"/>
        <v>8893.0586926879987</v>
      </c>
      <c r="U38" s="373">
        <f t="shared" si="49"/>
        <v>33635.346959999995</v>
      </c>
      <c r="V38" s="376">
        <f>(U38-25000)*0.27+(25000-R38)*0.2</f>
        <v>2846.8307511999992</v>
      </c>
      <c r="W38" s="373">
        <f t="shared" si="51"/>
        <v>8288.5844054879999</v>
      </c>
      <c r="X38" s="373">
        <f t="shared" si="52"/>
        <v>44847.129279999994</v>
      </c>
      <c r="Y38" s="376">
        <f t="shared" si="53"/>
        <v>3027.1812263999996</v>
      </c>
      <c r="Z38" s="373">
        <f t="shared" si="54"/>
        <v>8108.2339302879991</v>
      </c>
      <c r="AA38" s="373">
        <f t="shared" si="55"/>
        <v>56058.911599999992</v>
      </c>
      <c r="AB38" s="376">
        <f t="shared" si="82"/>
        <v>3027.1812263999996</v>
      </c>
      <c r="AC38" s="373">
        <f t="shared" si="74"/>
        <v>8108.2339302879991</v>
      </c>
      <c r="AD38" s="373">
        <f t="shared" si="56"/>
        <v>67270.693919999991</v>
      </c>
      <c r="AE38" s="376">
        <f t="shared" si="83"/>
        <v>3027.1812263999996</v>
      </c>
      <c r="AF38" s="373">
        <f t="shared" si="76"/>
        <v>8108.2339302879991</v>
      </c>
      <c r="AG38" s="373">
        <f t="shared" si="57"/>
        <v>78482.476239999989</v>
      </c>
      <c r="AH38" s="376">
        <f>H38*0.27</f>
        <v>3027.1812263999996</v>
      </c>
      <c r="AI38" s="373">
        <f t="shared" si="58"/>
        <v>8108.2339302879991</v>
      </c>
      <c r="AJ38" s="373">
        <f t="shared" si="59"/>
        <v>89694.258559999987</v>
      </c>
      <c r="AK38" s="377">
        <f t="shared" si="85"/>
        <v>3162.7219111999984</v>
      </c>
      <c r="AL38" s="373">
        <f t="shared" si="60"/>
        <v>7972.6932454880007</v>
      </c>
      <c r="AM38" s="373">
        <f t="shared" si="61"/>
        <v>100906.04087999999</v>
      </c>
      <c r="AN38" s="377">
        <f t="shared" si="79"/>
        <v>3924.1238119999994</v>
      </c>
      <c r="AO38" s="373">
        <f t="shared" si="62"/>
        <v>7211.2913446879993</v>
      </c>
      <c r="AP38" s="373">
        <f t="shared" si="63"/>
        <v>112117.82319999998</v>
      </c>
      <c r="AQ38" s="377">
        <f t="shared" si="80"/>
        <v>3924.1238119999994</v>
      </c>
      <c r="AR38" s="373">
        <f t="shared" si="81"/>
        <v>7211.2913446879993</v>
      </c>
      <c r="AS38" s="373">
        <f t="shared" si="64"/>
        <v>123329.60551999998</v>
      </c>
      <c r="AT38" s="377">
        <f t="shared" si="65"/>
        <v>3924.1238119999994</v>
      </c>
      <c r="AU38" s="373">
        <f t="shared" si="66"/>
        <v>7211.2913446879993</v>
      </c>
      <c r="AV38" s="373">
        <f t="shared" si="67"/>
        <v>134541.38783999998</v>
      </c>
      <c r="AW38" s="377">
        <f t="shared" si="68"/>
        <v>3924.1238119999994</v>
      </c>
      <c r="AX38" s="373">
        <f t="shared" si="69"/>
        <v>7211.2913446879993</v>
      </c>
      <c r="AY38" s="292"/>
      <c r="BA38" s="358"/>
    </row>
    <row r="39" spans="1:53" ht="28.5" x14ac:dyDescent="0.45">
      <c r="A39" s="716" t="s">
        <v>29</v>
      </c>
      <c r="B39" s="461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43"/>
        <v>24980.1</v>
      </c>
      <c r="G39" s="233">
        <v>359</v>
      </c>
      <c r="H39" s="353">
        <f t="shared" si="70"/>
        <v>17786.544639999996</v>
      </c>
      <c r="I39" s="363">
        <v>0.7</v>
      </c>
      <c r="J39" s="362">
        <v>11600</v>
      </c>
      <c r="K39" s="361">
        <f t="shared" si="12"/>
        <v>12281.87824270933</v>
      </c>
      <c r="L39" s="390">
        <v>11308.756756228262</v>
      </c>
      <c r="M39" s="390">
        <f t="shared" si="71"/>
        <v>973.12148648106813</v>
      </c>
      <c r="N39" s="372">
        <f t="shared" si="13"/>
        <v>119.76059462399998</v>
      </c>
      <c r="O39" s="373">
        <f t="shared" si="44"/>
        <v>17786.544639999996</v>
      </c>
      <c r="P39" s="374">
        <f t="shared" si="45"/>
        <v>3057.3089279999995</v>
      </c>
      <c r="Q39" s="373">
        <f t="shared" si="46"/>
        <v>14609.475117375998</v>
      </c>
      <c r="R39" s="373">
        <f t="shared" si="47"/>
        <v>35573.089279999993</v>
      </c>
      <c r="S39" s="376">
        <f>(R39-25000)*0.27+(25000-O39)*0.2</f>
        <v>4297.4251775999992</v>
      </c>
      <c r="T39" s="373">
        <f t="shared" si="48"/>
        <v>13369.358867775998</v>
      </c>
      <c r="U39" s="373">
        <f t="shared" si="49"/>
        <v>53359.633919999993</v>
      </c>
      <c r="V39" s="376">
        <f t="shared" ref="V39:V44" si="86">O39*0.27</f>
        <v>4802.3670527999993</v>
      </c>
      <c r="W39" s="373">
        <f t="shared" si="51"/>
        <v>12864.416992575996</v>
      </c>
      <c r="X39" s="373">
        <f t="shared" si="52"/>
        <v>71146.178559999986</v>
      </c>
      <c r="Y39" s="376">
        <f t="shared" si="53"/>
        <v>4802.3670527999993</v>
      </c>
      <c r="Z39" s="373">
        <f t="shared" si="54"/>
        <v>12864.416992575996</v>
      </c>
      <c r="AA39" s="373">
        <f t="shared" si="55"/>
        <v>88932.723199999979</v>
      </c>
      <c r="AB39" s="376">
        <f t="shared" si="82"/>
        <v>4802.3670527999993</v>
      </c>
      <c r="AC39" s="373">
        <f t="shared" si="74"/>
        <v>12864.416992575996</v>
      </c>
      <c r="AD39" s="373">
        <f t="shared" si="56"/>
        <v>106719.26783999999</v>
      </c>
      <c r="AE39" s="377">
        <f t="shared" ref="AE39:AE40" si="87">H39*0.35</f>
        <v>6225.2906239999984</v>
      </c>
      <c r="AF39" s="373">
        <f t="shared" si="76"/>
        <v>11441.493421375999</v>
      </c>
      <c r="AG39" s="373">
        <f t="shared" si="57"/>
        <v>124505.81247999998</v>
      </c>
      <c r="AH39" s="377">
        <f>H39*0.35</f>
        <v>6225.2906239999984</v>
      </c>
      <c r="AI39" s="373">
        <f t="shared" si="58"/>
        <v>11441.493421375999</v>
      </c>
      <c r="AJ39" s="373">
        <f t="shared" si="59"/>
        <v>142292.35711999997</v>
      </c>
      <c r="AK39" s="377">
        <f>H39*0.35</f>
        <v>6225.2906239999984</v>
      </c>
      <c r="AL39" s="373">
        <f t="shared" si="60"/>
        <v>11441.493421375999</v>
      </c>
      <c r="AM39" s="373">
        <f t="shared" si="61"/>
        <v>160078.90175999998</v>
      </c>
      <c r="AN39" s="377">
        <f>H39*0.35</f>
        <v>6225.2906239999984</v>
      </c>
      <c r="AO39" s="373">
        <f t="shared" si="62"/>
        <v>11441.493421375999</v>
      </c>
      <c r="AP39" s="373">
        <f t="shared" si="63"/>
        <v>177865.44639999996</v>
      </c>
      <c r="AQ39" s="377">
        <f t="shared" si="80"/>
        <v>6225.2906239999984</v>
      </c>
      <c r="AR39" s="373">
        <f t="shared" si="81"/>
        <v>11441.493421375999</v>
      </c>
      <c r="AS39" s="373">
        <f t="shared" si="64"/>
        <v>195651.99103999996</v>
      </c>
      <c r="AT39" s="377">
        <f t="shared" ref="AT39:AT44" si="88">H39*0.35</f>
        <v>6225.2906239999984</v>
      </c>
      <c r="AU39" s="373">
        <f t="shared" si="66"/>
        <v>11441.493421375999</v>
      </c>
      <c r="AV39" s="373">
        <f t="shared" si="67"/>
        <v>213438.53567999997</v>
      </c>
      <c r="AW39" s="377">
        <f t="shared" si="68"/>
        <v>6225.2906239999984</v>
      </c>
      <c r="AX39" s="373">
        <f t="shared" si="69"/>
        <v>11441.493421375999</v>
      </c>
      <c r="AY39" s="292"/>
      <c r="BA39" s="358"/>
    </row>
    <row r="40" spans="1:53" ht="28.5" x14ac:dyDescent="0.45">
      <c r="A40" s="716"/>
      <c r="B40" s="461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43"/>
        <v>24980.1</v>
      </c>
      <c r="G40" s="233">
        <v>359</v>
      </c>
      <c r="H40" s="353">
        <f t="shared" si="70"/>
        <v>17786.544639999996</v>
      </c>
      <c r="I40" s="363">
        <v>0.7</v>
      </c>
      <c r="J40" s="362">
        <v>7900</v>
      </c>
      <c r="K40" s="361">
        <f t="shared" si="12"/>
        <v>12281.87824270933</v>
      </c>
      <c r="L40" s="390">
        <v>7803.7321784010674</v>
      </c>
      <c r="M40" s="390">
        <f t="shared" si="71"/>
        <v>4478.1460643082628</v>
      </c>
      <c r="N40" s="372">
        <f t="shared" si="13"/>
        <v>119.76059462399998</v>
      </c>
      <c r="O40" s="373">
        <f t="shared" si="44"/>
        <v>17786.544639999996</v>
      </c>
      <c r="P40" s="374">
        <f t="shared" si="45"/>
        <v>3057.3089279999995</v>
      </c>
      <c r="Q40" s="373">
        <f t="shared" si="46"/>
        <v>14609.475117375998</v>
      </c>
      <c r="R40" s="373">
        <f t="shared" si="47"/>
        <v>35573.089279999993</v>
      </c>
      <c r="S40" s="376">
        <f t="shared" ref="S40:S44" si="89">(R40-25000)*0.27+(25000-O40)*0.2</f>
        <v>4297.4251775999992</v>
      </c>
      <c r="T40" s="373">
        <f t="shared" si="48"/>
        <v>13369.358867775998</v>
      </c>
      <c r="U40" s="373">
        <f t="shared" si="49"/>
        <v>53359.633919999993</v>
      </c>
      <c r="V40" s="376">
        <f t="shared" si="86"/>
        <v>4802.3670527999993</v>
      </c>
      <c r="W40" s="373">
        <f t="shared" si="51"/>
        <v>12864.416992575996</v>
      </c>
      <c r="X40" s="373">
        <f t="shared" si="52"/>
        <v>71146.178559999986</v>
      </c>
      <c r="Y40" s="376">
        <f t="shared" si="53"/>
        <v>4802.3670527999993</v>
      </c>
      <c r="Z40" s="373">
        <f t="shared" si="54"/>
        <v>12864.416992575996</v>
      </c>
      <c r="AA40" s="373">
        <f t="shared" si="55"/>
        <v>88932.723199999979</v>
      </c>
      <c r="AB40" s="376">
        <f t="shared" si="82"/>
        <v>4802.3670527999993</v>
      </c>
      <c r="AC40" s="373">
        <f t="shared" si="74"/>
        <v>12864.416992575996</v>
      </c>
      <c r="AD40" s="373">
        <f t="shared" si="56"/>
        <v>106719.26783999999</v>
      </c>
      <c r="AE40" s="377">
        <f t="shared" si="87"/>
        <v>6225.2906239999984</v>
      </c>
      <c r="AF40" s="373">
        <f t="shared" si="76"/>
        <v>11441.493421375999</v>
      </c>
      <c r="AG40" s="373">
        <f t="shared" si="57"/>
        <v>124505.81247999998</v>
      </c>
      <c r="AH40" s="377">
        <f>H40*0.35</f>
        <v>6225.2906239999984</v>
      </c>
      <c r="AI40" s="373">
        <f t="shared" si="58"/>
        <v>11441.493421375999</v>
      </c>
      <c r="AJ40" s="373">
        <f t="shared" si="59"/>
        <v>142292.35711999997</v>
      </c>
      <c r="AK40" s="377">
        <f>H40*0.35</f>
        <v>6225.2906239999984</v>
      </c>
      <c r="AL40" s="373">
        <f t="shared" si="60"/>
        <v>11441.493421375999</v>
      </c>
      <c r="AM40" s="373">
        <f t="shared" si="61"/>
        <v>160078.90175999998</v>
      </c>
      <c r="AN40" s="377">
        <f t="shared" ref="AN40:AN44" si="90">H40*0.35</f>
        <v>6225.2906239999984</v>
      </c>
      <c r="AO40" s="373">
        <f t="shared" si="62"/>
        <v>11441.493421375999</v>
      </c>
      <c r="AP40" s="373">
        <f t="shared" si="63"/>
        <v>177865.44639999996</v>
      </c>
      <c r="AQ40" s="377">
        <f t="shared" si="80"/>
        <v>6225.2906239999984</v>
      </c>
      <c r="AR40" s="373">
        <f t="shared" si="81"/>
        <v>11441.493421375999</v>
      </c>
      <c r="AS40" s="373">
        <f t="shared" si="64"/>
        <v>195651.99103999996</v>
      </c>
      <c r="AT40" s="377">
        <f t="shared" si="88"/>
        <v>6225.2906239999984</v>
      </c>
      <c r="AU40" s="373">
        <f t="shared" si="66"/>
        <v>11441.493421375999</v>
      </c>
      <c r="AV40" s="373">
        <f t="shared" si="67"/>
        <v>213438.53567999997</v>
      </c>
      <c r="AW40" s="377">
        <f t="shared" si="68"/>
        <v>6225.2906239999984</v>
      </c>
      <c r="AX40" s="373">
        <f t="shared" si="69"/>
        <v>11441.493421375999</v>
      </c>
      <c r="AY40" s="292"/>
      <c r="BA40" s="358"/>
    </row>
    <row r="41" spans="1:53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43"/>
        <v>19984.079999999998</v>
      </c>
      <c r="G41" s="233">
        <v>359</v>
      </c>
      <c r="H41" s="353">
        <f t="shared" si="70"/>
        <v>14499.163479999999</v>
      </c>
      <c r="I41" s="363">
        <v>0.7</v>
      </c>
      <c r="J41" s="362">
        <v>9000</v>
      </c>
      <c r="K41" s="361">
        <f t="shared" si="12"/>
        <v>10160.559049698666</v>
      </c>
      <c r="L41" s="390">
        <v>8800.8512393346664</v>
      </c>
      <c r="M41" s="390">
        <f t="shared" si="71"/>
        <v>1359.7078103639997</v>
      </c>
      <c r="N41" s="372">
        <f t="shared" si="13"/>
        <v>98.063878967999997</v>
      </c>
      <c r="O41" s="373">
        <f t="shared" si="44"/>
        <v>14499.163479999999</v>
      </c>
      <c r="P41" s="374">
        <f t="shared" si="45"/>
        <v>2399.8326959999999</v>
      </c>
      <c r="Q41" s="373">
        <f t="shared" si="46"/>
        <v>12001.266905032</v>
      </c>
      <c r="R41" s="373">
        <f t="shared" si="47"/>
        <v>28998.326959999999</v>
      </c>
      <c r="S41" s="376">
        <f t="shared" si="89"/>
        <v>3179.7155831999999</v>
      </c>
      <c r="T41" s="373">
        <f t="shared" si="48"/>
        <v>11221.384017831999</v>
      </c>
      <c r="U41" s="373">
        <f t="shared" si="49"/>
        <v>43497.490439999994</v>
      </c>
      <c r="V41" s="376">
        <f t="shared" si="86"/>
        <v>3914.7741396000001</v>
      </c>
      <c r="W41" s="373">
        <f t="shared" si="51"/>
        <v>10486.325461431999</v>
      </c>
      <c r="X41" s="373">
        <f t="shared" si="52"/>
        <v>57996.653919999997</v>
      </c>
      <c r="Y41" s="376">
        <f t="shared" si="53"/>
        <v>3914.7741396000001</v>
      </c>
      <c r="Z41" s="373">
        <f t="shared" si="54"/>
        <v>10486.325461431999</v>
      </c>
      <c r="AA41" s="373">
        <f t="shared" si="55"/>
        <v>72495.8174</v>
      </c>
      <c r="AB41" s="376">
        <f t="shared" si="82"/>
        <v>3914.7741396000001</v>
      </c>
      <c r="AC41" s="373">
        <f t="shared" si="74"/>
        <v>10486.325461431999</v>
      </c>
      <c r="AD41" s="373">
        <f t="shared" si="56"/>
        <v>86994.980879999988</v>
      </c>
      <c r="AE41" s="376">
        <f t="shared" ref="AE41:AE52" si="91">H41*0.27</f>
        <v>3914.7741396000001</v>
      </c>
      <c r="AF41" s="373">
        <f t="shared" si="76"/>
        <v>10486.325461431999</v>
      </c>
      <c r="AG41" s="373">
        <f t="shared" si="57"/>
        <v>101494.14435999999</v>
      </c>
      <c r="AH41" s="377">
        <f t="shared" ref="AH41:AH44" si="92">(AG41-88000)*0.35+(88000-AD41)*0.27</f>
        <v>4994.3056883999998</v>
      </c>
      <c r="AI41" s="373">
        <f t="shared" si="58"/>
        <v>9406.7939126319998</v>
      </c>
      <c r="AJ41" s="373">
        <f t="shared" si="59"/>
        <v>115993.30783999999</v>
      </c>
      <c r="AK41" s="377">
        <f>H41*0.35</f>
        <v>5074.7072179999996</v>
      </c>
      <c r="AL41" s="373">
        <f t="shared" si="60"/>
        <v>9326.392383032</v>
      </c>
      <c r="AM41" s="373">
        <f t="shared" si="61"/>
        <v>130492.47132</v>
      </c>
      <c r="AN41" s="377">
        <f t="shared" si="90"/>
        <v>5074.7072179999996</v>
      </c>
      <c r="AO41" s="373">
        <f t="shared" si="62"/>
        <v>9326.392383032</v>
      </c>
      <c r="AP41" s="373">
        <f t="shared" si="63"/>
        <v>144991.6348</v>
      </c>
      <c r="AQ41" s="377">
        <f t="shared" si="80"/>
        <v>5074.7072179999996</v>
      </c>
      <c r="AR41" s="373">
        <f t="shared" si="81"/>
        <v>9326.392383032</v>
      </c>
      <c r="AS41" s="373">
        <f t="shared" si="64"/>
        <v>159490.79827999999</v>
      </c>
      <c r="AT41" s="377">
        <f t="shared" si="88"/>
        <v>5074.7072179999996</v>
      </c>
      <c r="AU41" s="373">
        <f t="shared" si="66"/>
        <v>9326.392383032</v>
      </c>
      <c r="AV41" s="373">
        <f t="shared" si="67"/>
        <v>173989.96175999998</v>
      </c>
      <c r="AW41" s="377">
        <f t="shared" si="68"/>
        <v>5074.7072179999996</v>
      </c>
      <c r="AX41" s="373">
        <f t="shared" si="69"/>
        <v>9326.392383032</v>
      </c>
      <c r="AY41" s="292"/>
      <c r="BA41" s="358"/>
    </row>
    <row r="42" spans="1:53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43"/>
        <v>19984.079999999998</v>
      </c>
      <c r="G42" s="233">
        <v>359</v>
      </c>
      <c r="H42" s="353">
        <f t="shared" si="70"/>
        <v>14499.163479999999</v>
      </c>
      <c r="I42" s="363">
        <v>0.7</v>
      </c>
      <c r="J42" s="362">
        <v>8000</v>
      </c>
      <c r="K42" s="361">
        <f t="shared" si="12"/>
        <v>10160.559049698666</v>
      </c>
      <c r="L42" s="390">
        <v>7803.7321784010674</v>
      </c>
      <c r="M42" s="390">
        <f t="shared" si="71"/>
        <v>2356.8268712975987</v>
      </c>
      <c r="N42" s="372">
        <f t="shared" si="13"/>
        <v>98.063878967999997</v>
      </c>
      <c r="O42" s="373">
        <f t="shared" si="44"/>
        <v>14499.163479999999</v>
      </c>
      <c r="P42" s="374">
        <f t="shared" si="45"/>
        <v>2399.8326959999999</v>
      </c>
      <c r="Q42" s="373">
        <f t="shared" si="46"/>
        <v>12001.266905032</v>
      </c>
      <c r="R42" s="373">
        <f t="shared" si="47"/>
        <v>28998.326959999999</v>
      </c>
      <c r="S42" s="376">
        <f t="shared" si="89"/>
        <v>3179.7155831999999</v>
      </c>
      <c r="T42" s="373">
        <f t="shared" si="48"/>
        <v>11221.384017831999</v>
      </c>
      <c r="U42" s="373">
        <f t="shared" si="49"/>
        <v>43497.490439999994</v>
      </c>
      <c r="V42" s="376">
        <f t="shared" si="86"/>
        <v>3914.7741396000001</v>
      </c>
      <c r="W42" s="373">
        <f t="shared" si="51"/>
        <v>10486.325461431999</v>
      </c>
      <c r="X42" s="373">
        <f t="shared" si="52"/>
        <v>57996.653919999997</v>
      </c>
      <c r="Y42" s="376">
        <f t="shared" si="53"/>
        <v>3914.7741396000001</v>
      </c>
      <c r="Z42" s="373">
        <f t="shared" si="54"/>
        <v>10486.325461431999</v>
      </c>
      <c r="AA42" s="373">
        <f t="shared" si="55"/>
        <v>72495.8174</v>
      </c>
      <c r="AB42" s="376">
        <f t="shared" si="82"/>
        <v>3914.7741396000001</v>
      </c>
      <c r="AC42" s="373">
        <f t="shared" si="74"/>
        <v>10486.325461431999</v>
      </c>
      <c r="AD42" s="373">
        <f t="shared" si="56"/>
        <v>86994.980879999988</v>
      </c>
      <c r="AE42" s="376">
        <f t="shared" si="91"/>
        <v>3914.7741396000001</v>
      </c>
      <c r="AF42" s="373">
        <f t="shared" si="76"/>
        <v>10486.325461431999</v>
      </c>
      <c r="AG42" s="373">
        <f t="shared" si="57"/>
        <v>101494.14435999999</v>
      </c>
      <c r="AH42" s="377">
        <f t="shared" si="92"/>
        <v>4994.3056883999998</v>
      </c>
      <c r="AI42" s="373">
        <f t="shared" si="58"/>
        <v>9406.7939126319998</v>
      </c>
      <c r="AJ42" s="373">
        <f t="shared" si="59"/>
        <v>115993.30783999999</v>
      </c>
      <c r="AK42" s="377">
        <f t="shared" ref="AK42:AK44" si="93">H42*0.35</f>
        <v>5074.7072179999996</v>
      </c>
      <c r="AL42" s="373">
        <f t="shared" si="60"/>
        <v>9326.392383032</v>
      </c>
      <c r="AM42" s="373">
        <f t="shared" si="61"/>
        <v>130492.47132</v>
      </c>
      <c r="AN42" s="377">
        <f t="shared" si="90"/>
        <v>5074.7072179999996</v>
      </c>
      <c r="AO42" s="373">
        <f t="shared" si="62"/>
        <v>9326.392383032</v>
      </c>
      <c r="AP42" s="373">
        <f t="shared" si="63"/>
        <v>144991.6348</v>
      </c>
      <c r="AQ42" s="377">
        <f t="shared" si="80"/>
        <v>5074.7072179999996</v>
      </c>
      <c r="AR42" s="373">
        <f t="shared" si="81"/>
        <v>9326.392383032</v>
      </c>
      <c r="AS42" s="373">
        <f t="shared" si="64"/>
        <v>159490.79827999999</v>
      </c>
      <c r="AT42" s="377">
        <f t="shared" si="88"/>
        <v>5074.7072179999996</v>
      </c>
      <c r="AU42" s="373">
        <f t="shared" si="66"/>
        <v>9326.392383032</v>
      </c>
      <c r="AV42" s="373">
        <f t="shared" si="67"/>
        <v>173989.96175999998</v>
      </c>
      <c r="AW42" s="377">
        <f t="shared" si="68"/>
        <v>5074.7072179999996</v>
      </c>
      <c r="AX42" s="373">
        <f t="shared" si="69"/>
        <v>9326.392383032</v>
      </c>
      <c r="AY42" s="292"/>
      <c r="BA42" s="358"/>
    </row>
    <row r="43" spans="1:53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43"/>
        <v>19984.079999999998</v>
      </c>
      <c r="G43" s="233">
        <v>359</v>
      </c>
      <c r="H43" s="353">
        <f t="shared" si="70"/>
        <v>14499.163479999999</v>
      </c>
      <c r="I43" s="363">
        <v>0.7</v>
      </c>
      <c r="J43" s="362">
        <v>7000</v>
      </c>
      <c r="K43" s="361">
        <f t="shared" si="12"/>
        <v>10160.559049698666</v>
      </c>
      <c r="L43" s="390">
        <v>6897.2603048250676</v>
      </c>
      <c r="M43" s="390">
        <f t="shared" si="71"/>
        <v>3263.2987448735985</v>
      </c>
      <c r="N43" s="372">
        <f t="shared" si="13"/>
        <v>98.063878967999997</v>
      </c>
      <c r="O43" s="373">
        <f t="shared" si="44"/>
        <v>14499.163479999999</v>
      </c>
      <c r="P43" s="374">
        <f t="shared" si="45"/>
        <v>2399.8326959999999</v>
      </c>
      <c r="Q43" s="373">
        <f t="shared" si="46"/>
        <v>12001.266905032</v>
      </c>
      <c r="R43" s="373">
        <f t="shared" si="47"/>
        <v>28998.326959999999</v>
      </c>
      <c r="S43" s="376">
        <f t="shared" si="89"/>
        <v>3179.7155831999999</v>
      </c>
      <c r="T43" s="373">
        <f t="shared" si="48"/>
        <v>11221.384017831999</v>
      </c>
      <c r="U43" s="373">
        <f t="shared" si="49"/>
        <v>43497.490439999994</v>
      </c>
      <c r="V43" s="376">
        <f t="shared" si="86"/>
        <v>3914.7741396000001</v>
      </c>
      <c r="W43" s="373">
        <f t="shared" si="51"/>
        <v>10486.325461431999</v>
      </c>
      <c r="X43" s="373">
        <f t="shared" si="52"/>
        <v>57996.653919999997</v>
      </c>
      <c r="Y43" s="376">
        <f t="shared" si="53"/>
        <v>3914.7741396000001</v>
      </c>
      <c r="Z43" s="373">
        <f t="shared" si="54"/>
        <v>10486.325461431999</v>
      </c>
      <c r="AA43" s="373">
        <f t="shared" si="55"/>
        <v>72495.8174</v>
      </c>
      <c r="AB43" s="376">
        <f t="shared" si="82"/>
        <v>3914.7741396000001</v>
      </c>
      <c r="AC43" s="373">
        <f t="shared" si="74"/>
        <v>10486.325461431999</v>
      </c>
      <c r="AD43" s="373">
        <f t="shared" si="56"/>
        <v>86994.980879999988</v>
      </c>
      <c r="AE43" s="376">
        <f t="shared" si="91"/>
        <v>3914.7741396000001</v>
      </c>
      <c r="AF43" s="373">
        <f t="shared" si="76"/>
        <v>10486.325461431999</v>
      </c>
      <c r="AG43" s="373">
        <f t="shared" si="57"/>
        <v>101494.14435999999</v>
      </c>
      <c r="AH43" s="377">
        <f t="shared" si="92"/>
        <v>4994.3056883999998</v>
      </c>
      <c r="AI43" s="373">
        <f t="shared" si="58"/>
        <v>9406.7939126319998</v>
      </c>
      <c r="AJ43" s="373">
        <f t="shared" si="59"/>
        <v>115993.30783999999</v>
      </c>
      <c r="AK43" s="377">
        <f t="shared" si="93"/>
        <v>5074.7072179999996</v>
      </c>
      <c r="AL43" s="373">
        <f t="shared" si="60"/>
        <v>9326.392383032</v>
      </c>
      <c r="AM43" s="373">
        <f t="shared" si="61"/>
        <v>130492.47132</v>
      </c>
      <c r="AN43" s="377">
        <f t="shared" si="90"/>
        <v>5074.7072179999996</v>
      </c>
      <c r="AO43" s="373">
        <f t="shared" si="62"/>
        <v>9326.392383032</v>
      </c>
      <c r="AP43" s="373">
        <f t="shared" si="63"/>
        <v>144991.6348</v>
      </c>
      <c r="AQ43" s="377">
        <f t="shared" si="80"/>
        <v>5074.7072179999996</v>
      </c>
      <c r="AR43" s="373">
        <f t="shared" si="81"/>
        <v>9326.392383032</v>
      </c>
      <c r="AS43" s="373">
        <f t="shared" si="64"/>
        <v>159490.79827999999</v>
      </c>
      <c r="AT43" s="377">
        <f t="shared" si="88"/>
        <v>5074.7072179999996</v>
      </c>
      <c r="AU43" s="373">
        <f t="shared" si="66"/>
        <v>9326.392383032</v>
      </c>
      <c r="AV43" s="373">
        <f t="shared" si="67"/>
        <v>173989.96175999998</v>
      </c>
      <c r="AW43" s="377">
        <f t="shared" si="68"/>
        <v>5074.7072179999996</v>
      </c>
      <c r="AX43" s="373">
        <f t="shared" si="69"/>
        <v>9326.392383032</v>
      </c>
      <c r="AY43" s="292"/>
      <c r="BA43" s="358"/>
    </row>
    <row r="44" spans="1:53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43"/>
        <v>19984.079999999998</v>
      </c>
      <c r="G44" s="233">
        <v>359</v>
      </c>
      <c r="H44" s="353">
        <f t="shared" si="70"/>
        <v>14499.163479999999</v>
      </c>
      <c r="I44" s="363">
        <v>0.7</v>
      </c>
      <c r="J44" s="362">
        <v>6700</v>
      </c>
      <c r="K44" s="361">
        <f t="shared" si="12"/>
        <v>10160.559049698666</v>
      </c>
      <c r="L44" s="390">
        <v>6625.3187427522671</v>
      </c>
      <c r="M44" s="390">
        <f t="shared" si="71"/>
        <v>3535.240306946399</v>
      </c>
      <c r="N44" s="372">
        <f t="shared" si="13"/>
        <v>98.063878967999997</v>
      </c>
      <c r="O44" s="373">
        <f t="shared" si="44"/>
        <v>14499.163479999999</v>
      </c>
      <c r="P44" s="374">
        <f t="shared" si="45"/>
        <v>2399.8326959999999</v>
      </c>
      <c r="Q44" s="373">
        <f t="shared" si="46"/>
        <v>12001.266905032</v>
      </c>
      <c r="R44" s="373">
        <f t="shared" si="47"/>
        <v>28998.326959999999</v>
      </c>
      <c r="S44" s="376">
        <f t="shared" si="89"/>
        <v>3179.7155831999999</v>
      </c>
      <c r="T44" s="373">
        <f t="shared" si="48"/>
        <v>11221.384017831999</v>
      </c>
      <c r="U44" s="373">
        <f t="shared" si="49"/>
        <v>43497.490439999994</v>
      </c>
      <c r="V44" s="376">
        <f t="shared" si="86"/>
        <v>3914.7741396000001</v>
      </c>
      <c r="W44" s="373">
        <f t="shared" si="51"/>
        <v>10486.325461431999</v>
      </c>
      <c r="X44" s="373">
        <f t="shared" si="52"/>
        <v>57996.653919999997</v>
      </c>
      <c r="Y44" s="376">
        <f t="shared" si="53"/>
        <v>3914.7741396000001</v>
      </c>
      <c r="Z44" s="373">
        <f t="shared" si="54"/>
        <v>10486.325461431999</v>
      </c>
      <c r="AA44" s="373">
        <f t="shared" si="55"/>
        <v>72495.8174</v>
      </c>
      <c r="AB44" s="376">
        <f t="shared" si="82"/>
        <v>3914.7741396000001</v>
      </c>
      <c r="AC44" s="373">
        <f t="shared" si="74"/>
        <v>10486.325461431999</v>
      </c>
      <c r="AD44" s="373">
        <f t="shared" si="56"/>
        <v>86994.980879999988</v>
      </c>
      <c r="AE44" s="376">
        <f t="shared" si="91"/>
        <v>3914.7741396000001</v>
      </c>
      <c r="AF44" s="373">
        <f t="shared" si="76"/>
        <v>10486.325461431999</v>
      </c>
      <c r="AG44" s="373">
        <f t="shared" si="57"/>
        <v>101494.14435999999</v>
      </c>
      <c r="AH44" s="377">
        <f t="shared" si="92"/>
        <v>4994.3056883999998</v>
      </c>
      <c r="AI44" s="373">
        <f t="shared" si="58"/>
        <v>9406.7939126319998</v>
      </c>
      <c r="AJ44" s="373">
        <f t="shared" si="59"/>
        <v>115993.30783999999</v>
      </c>
      <c r="AK44" s="377">
        <f t="shared" si="93"/>
        <v>5074.7072179999996</v>
      </c>
      <c r="AL44" s="373">
        <f t="shared" si="60"/>
        <v>9326.392383032</v>
      </c>
      <c r="AM44" s="373">
        <f t="shared" si="61"/>
        <v>130492.47132</v>
      </c>
      <c r="AN44" s="377">
        <f t="shared" si="90"/>
        <v>5074.7072179999996</v>
      </c>
      <c r="AO44" s="373">
        <f t="shared" si="62"/>
        <v>9326.392383032</v>
      </c>
      <c r="AP44" s="373">
        <f t="shared" si="63"/>
        <v>144991.6348</v>
      </c>
      <c r="AQ44" s="377">
        <f t="shared" si="80"/>
        <v>5074.7072179999996</v>
      </c>
      <c r="AR44" s="373">
        <f t="shared" si="81"/>
        <v>9326.392383032</v>
      </c>
      <c r="AS44" s="373">
        <f t="shared" si="64"/>
        <v>159490.79827999999</v>
      </c>
      <c r="AT44" s="377">
        <f t="shared" si="88"/>
        <v>5074.7072179999996</v>
      </c>
      <c r="AU44" s="373">
        <f t="shared" si="66"/>
        <v>9326.392383032</v>
      </c>
      <c r="AV44" s="373">
        <f t="shared" si="67"/>
        <v>173989.96175999998</v>
      </c>
      <c r="AW44" s="377">
        <f t="shared" si="68"/>
        <v>5074.7072179999996</v>
      </c>
      <c r="AX44" s="373">
        <f t="shared" si="69"/>
        <v>9326.392383032</v>
      </c>
      <c r="AY44" s="292"/>
      <c r="BA44" s="358"/>
    </row>
    <row r="45" spans="1:53" ht="28.5" x14ac:dyDescent="0.45">
      <c r="A45" s="716"/>
      <c r="B45" s="478" t="s">
        <v>226</v>
      </c>
      <c r="C45" s="479">
        <v>200</v>
      </c>
      <c r="D45" s="239">
        <v>4996.0199999999995</v>
      </c>
      <c r="E45" s="239">
        <v>6661.36</v>
      </c>
      <c r="F45" s="239">
        <f t="shared" si="43"/>
        <v>11657.38</v>
      </c>
      <c r="G45" s="480">
        <v>359</v>
      </c>
      <c r="H45" s="481">
        <f t="shared" si="70"/>
        <v>9020.1948799999991</v>
      </c>
      <c r="I45" s="363">
        <v>0.7</v>
      </c>
      <c r="J45" s="482">
        <v>6800</v>
      </c>
      <c r="K45" s="483">
        <f t="shared" si="12"/>
        <v>6635.3906524586637</v>
      </c>
      <c r="L45" s="484">
        <v>6756.2535689354663</v>
      </c>
      <c r="M45" s="484">
        <f t="shared" si="71"/>
        <v>-120.86291647680264</v>
      </c>
      <c r="N45" s="372">
        <f t="shared" si="13"/>
        <v>61.902686207999992</v>
      </c>
      <c r="O45" s="373">
        <f t="shared" si="44"/>
        <v>9020.1948799999991</v>
      </c>
      <c r="P45" s="378">
        <f t="shared" ref="P45:P54" si="94">O45*0.15</f>
        <v>1353.0292319999999</v>
      </c>
      <c r="Q45" s="373">
        <f t="shared" si="46"/>
        <v>7605.2629617919984</v>
      </c>
      <c r="R45" s="373">
        <f t="shared" si="47"/>
        <v>18040.389759999998</v>
      </c>
      <c r="S45" s="374">
        <f t="shared" ref="S45:S51" si="95">(R45-10000)*0.2+(10000-O45)*0.15</f>
        <v>1755.0487199999998</v>
      </c>
      <c r="T45" s="373">
        <f t="shared" si="48"/>
        <v>7203.2434737919984</v>
      </c>
      <c r="U45" s="373">
        <f t="shared" si="49"/>
        <v>27060.584639999997</v>
      </c>
      <c r="V45" s="376">
        <f t="shared" ref="V45:V46" si="96">(U45-25000)*0.27+(25000-R45)*0.2</f>
        <v>1948.2799007999997</v>
      </c>
      <c r="W45" s="373">
        <f t="shared" si="51"/>
        <v>7010.012292991998</v>
      </c>
      <c r="X45" s="373">
        <f t="shared" si="52"/>
        <v>36080.779519999996</v>
      </c>
      <c r="Y45" s="376">
        <f t="shared" si="53"/>
        <v>2435.4526175999999</v>
      </c>
      <c r="Z45" s="373">
        <f t="shared" si="54"/>
        <v>6522.8395761919983</v>
      </c>
      <c r="AA45" s="373">
        <f t="shared" si="55"/>
        <v>45100.974399999992</v>
      </c>
      <c r="AB45" s="376">
        <f t="shared" si="82"/>
        <v>2435.4526175999999</v>
      </c>
      <c r="AC45" s="373">
        <f t="shared" si="74"/>
        <v>6522.8395761919983</v>
      </c>
      <c r="AD45" s="373">
        <f t="shared" si="56"/>
        <v>54121.169279999995</v>
      </c>
      <c r="AE45" s="376">
        <f t="shared" si="91"/>
        <v>2435.4526175999999</v>
      </c>
      <c r="AF45" s="373">
        <f t="shared" si="76"/>
        <v>6522.8395761919983</v>
      </c>
      <c r="AG45" s="373">
        <f t="shared" si="57"/>
        <v>63141.364159999997</v>
      </c>
      <c r="AH45" s="376">
        <f t="shared" ref="AH45:AH52" si="97">H45*0.27</f>
        <v>2435.4526175999999</v>
      </c>
      <c r="AI45" s="373">
        <f t="shared" si="58"/>
        <v>6522.8395761919983</v>
      </c>
      <c r="AJ45" s="373">
        <f t="shared" si="59"/>
        <v>72161.559039999993</v>
      </c>
      <c r="AK45" s="376">
        <f t="shared" ref="AK45:AK54" si="98">H45*0.27</f>
        <v>2435.4526175999999</v>
      </c>
      <c r="AL45" s="373">
        <f t="shared" si="60"/>
        <v>6522.8395761919983</v>
      </c>
      <c r="AM45" s="373">
        <f t="shared" si="61"/>
        <v>81181.753919999988</v>
      </c>
      <c r="AN45" s="376">
        <f>H45*0.27</f>
        <v>2435.4526175999999</v>
      </c>
      <c r="AO45" s="373">
        <f t="shared" si="62"/>
        <v>6522.8395761919983</v>
      </c>
      <c r="AP45" s="373">
        <f t="shared" si="63"/>
        <v>90201.948799999984</v>
      </c>
      <c r="AQ45" s="377">
        <f>(AP45-88000)*0.35+(88000-AM45)*0.27</f>
        <v>2611.6085215999974</v>
      </c>
      <c r="AR45" s="373">
        <f t="shared" si="81"/>
        <v>6346.6836721920008</v>
      </c>
      <c r="AS45" s="373">
        <f t="shared" si="64"/>
        <v>99222.143679999994</v>
      </c>
      <c r="AT45" s="377">
        <f t="shared" ref="AT45:AT46" si="99">H45*0.35</f>
        <v>3157.0682079999997</v>
      </c>
      <c r="AU45" s="373">
        <f t="shared" si="66"/>
        <v>5801.2239857919985</v>
      </c>
      <c r="AV45" s="373">
        <f t="shared" si="67"/>
        <v>108242.33855999999</v>
      </c>
      <c r="AW45" s="377">
        <f t="shared" si="68"/>
        <v>3157.0682079999997</v>
      </c>
      <c r="AX45" s="373">
        <f t="shared" si="69"/>
        <v>5801.2239857919985</v>
      </c>
      <c r="AY45" s="292"/>
      <c r="BA45" s="358"/>
    </row>
    <row r="46" spans="1:53" ht="28.5" x14ac:dyDescent="0.45">
      <c r="A46" s="716"/>
      <c r="B46" s="461" t="s">
        <v>227</v>
      </c>
      <c r="C46" s="231">
        <v>200</v>
      </c>
      <c r="D46" s="234">
        <v>4996.0199999999995</v>
      </c>
      <c r="E46" s="234">
        <v>6661.36</v>
      </c>
      <c r="F46" s="234">
        <f t="shared" si="43"/>
        <v>11657.38</v>
      </c>
      <c r="G46" s="233">
        <v>359</v>
      </c>
      <c r="H46" s="353">
        <f t="shared" si="70"/>
        <v>9020.1948799999991</v>
      </c>
      <c r="I46" s="363">
        <v>0.7</v>
      </c>
      <c r="J46" s="362">
        <v>6000</v>
      </c>
      <c r="K46" s="361">
        <f t="shared" si="12"/>
        <v>6635.3906524586637</v>
      </c>
      <c r="L46" s="390">
        <v>6025.1402412746656</v>
      </c>
      <c r="M46" s="390">
        <f t="shared" si="71"/>
        <v>610.25041118399804</v>
      </c>
      <c r="N46" s="372">
        <f t="shared" si="13"/>
        <v>61.902686207999992</v>
      </c>
      <c r="O46" s="373">
        <f t="shared" si="44"/>
        <v>9020.1948799999991</v>
      </c>
      <c r="P46" s="378">
        <f t="shared" si="94"/>
        <v>1353.0292319999999</v>
      </c>
      <c r="Q46" s="373">
        <f t="shared" si="46"/>
        <v>7605.2629617919984</v>
      </c>
      <c r="R46" s="373">
        <f t="shared" si="47"/>
        <v>18040.389759999998</v>
      </c>
      <c r="S46" s="374">
        <f t="shared" si="95"/>
        <v>1755.0487199999998</v>
      </c>
      <c r="T46" s="373">
        <f t="shared" si="48"/>
        <v>7203.2434737919984</v>
      </c>
      <c r="U46" s="373">
        <f t="shared" si="49"/>
        <v>27060.584639999997</v>
      </c>
      <c r="V46" s="376">
        <f t="shared" si="96"/>
        <v>1948.2799007999997</v>
      </c>
      <c r="W46" s="373">
        <f t="shared" si="51"/>
        <v>7010.012292991998</v>
      </c>
      <c r="X46" s="373">
        <f t="shared" si="52"/>
        <v>36080.779519999996</v>
      </c>
      <c r="Y46" s="376">
        <f t="shared" si="53"/>
        <v>2435.4526175999999</v>
      </c>
      <c r="Z46" s="373">
        <f t="shared" si="54"/>
        <v>6522.8395761919983</v>
      </c>
      <c r="AA46" s="373">
        <f t="shared" si="55"/>
        <v>45100.974399999992</v>
      </c>
      <c r="AB46" s="376">
        <f t="shared" si="82"/>
        <v>2435.4526175999999</v>
      </c>
      <c r="AC46" s="373">
        <f t="shared" si="74"/>
        <v>6522.8395761919983</v>
      </c>
      <c r="AD46" s="373">
        <f t="shared" si="56"/>
        <v>54121.169279999995</v>
      </c>
      <c r="AE46" s="376">
        <f t="shared" si="91"/>
        <v>2435.4526175999999</v>
      </c>
      <c r="AF46" s="373">
        <f t="shared" si="76"/>
        <v>6522.8395761919983</v>
      </c>
      <c r="AG46" s="373">
        <f t="shared" si="57"/>
        <v>63141.364159999997</v>
      </c>
      <c r="AH46" s="376">
        <f t="shared" si="97"/>
        <v>2435.4526175999999</v>
      </c>
      <c r="AI46" s="373">
        <f t="shared" si="58"/>
        <v>6522.8395761919983</v>
      </c>
      <c r="AJ46" s="373">
        <f t="shared" si="59"/>
        <v>72161.559039999993</v>
      </c>
      <c r="AK46" s="376">
        <f t="shared" si="98"/>
        <v>2435.4526175999999</v>
      </c>
      <c r="AL46" s="373">
        <f t="shared" si="60"/>
        <v>6522.8395761919983</v>
      </c>
      <c r="AM46" s="373">
        <f t="shared" si="61"/>
        <v>81181.753919999988</v>
      </c>
      <c r="AN46" s="376">
        <f>H46*0.27</f>
        <v>2435.4526175999999</v>
      </c>
      <c r="AO46" s="373">
        <f t="shared" si="62"/>
        <v>6522.8395761919983</v>
      </c>
      <c r="AP46" s="373">
        <f t="shared" si="63"/>
        <v>90201.948799999984</v>
      </c>
      <c r="AQ46" s="377">
        <f>(AP46-88000)*0.35+(88000-AM46)*0.27</f>
        <v>2611.6085215999974</v>
      </c>
      <c r="AR46" s="373">
        <f t="shared" si="81"/>
        <v>6346.6836721920008</v>
      </c>
      <c r="AS46" s="373">
        <f t="shared" si="64"/>
        <v>99222.143679999994</v>
      </c>
      <c r="AT46" s="377">
        <f t="shared" si="99"/>
        <v>3157.0682079999997</v>
      </c>
      <c r="AU46" s="373">
        <f t="shared" si="66"/>
        <v>5801.2239857919985</v>
      </c>
      <c r="AV46" s="373">
        <f t="shared" si="67"/>
        <v>108242.33855999999</v>
      </c>
      <c r="AW46" s="377">
        <f t="shared" si="68"/>
        <v>3157.0682079999997</v>
      </c>
      <c r="AX46" s="373">
        <f t="shared" si="69"/>
        <v>5801.2239857919985</v>
      </c>
      <c r="AY46" s="292"/>
      <c r="BA46" s="358"/>
    </row>
    <row r="47" spans="1:53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43"/>
        <v>13988.856</v>
      </c>
      <c r="G47" s="233">
        <v>359</v>
      </c>
      <c r="H47" s="353">
        <f t="shared" si="70"/>
        <v>10554.306087999998</v>
      </c>
      <c r="I47" s="363">
        <v>0.7</v>
      </c>
      <c r="J47" s="362">
        <v>7351</v>
      </c>
      <c r="K47" s="361">
        <f t="shared" si="12"/>
        <v>7620.128194985864</v>
      </c>
      <c r="L47" s="390">
        <v>7187.3313043693861</v>
      </c>
      <c r="M47" s="390">
        <f t="shared" si="71"/>
        <v>432.79689061647787</v>
      </c>
      <c r="N47" s="372">
        <f t="shared" si="13"/>
        <v>72.027820180799978</v>
      </c>
      <c r="O47" s="373">
        <f t="shared" si="44"/>
        <v>10554.306087999998</v>
      </c>
      <c r="P47" s="374">
        <f t="shared" ref="P47:P48" si="100">(O47-10000)*0.2+10000*0.15</f>
        <v>1610.8612175999995</v>
      </c>
      <c r="Q47" s="373">
        <f t="shared" si="46"/>
        <v>8871.4170502191992</v>
      </c>
      <c r="R47" s="373">
        <f t="shared" si="47"/>
        <v>21108.612175999995</v>
      </c>
      <c r="S47" s="374">
        <f t="shared" si="95"/>
        <v>2138.5765219999994</v>
      </c>
      <c r="T47" s="373">
        <f t="shared" si="48"/>
        <v>8343.7017458191985</v>
      </c>
      <c r="U47" s="373">
        <f t="shared" si="49"/>
        <v>31662.918263999993</v>
      </c>
      <c r="V47" s="376">
        <f>(U47-25000)*0.27+(25000-R47)*0.2</f>
        <v>2577.2654960799991</v>
      </c>
      <c r="W47" s="373">
        <f t="shared" si="51"/>
        <v>7905.0127717391988</v>
      </c>
      <c r="X47" s="373">
        <f t="shared" si="52"/>
        <v>42217.22435199999</v>
      </c>
      <c r="Y47" s="376">
        <f t="shared" si="53"/>
        <v>2849.6626437599994</v>
      </c>
      <c r="Z47" s="373">
        <f t="shared" si="54"/>
        <v>7632.615624059199</v>
      </c>
      <c r="AA47" s="373">
        <f t="shared" si="55"/>
        <v>52771.530439999988</v>
      </c>
      <c r="AB47" s="376">
        <f t="shared" si="82"/>
        <v>2849.6626437599994</v>
      </c>
      <c r="AC47" s="373">
        <f t="shared" si="74"/>
        <v>7632.615624059199</v>
      </c>
      <c r="AD47" s="373">
        <f t="shared" si="56"/>
        <v>63325.836527999985</v>
      </c>
      <c r="AE47" s="376">
        <f t="shared" si="91"/>
        <v>2849.6626437599994</v>
      </c>
      <c r="AF47" s="373">
        <f t="shared" si="76"/>
        <v>7632.615624059199</v>
      </c>
      <c r="AG47" s="373">
        <f t="shared" si="57"/>
        <v>73880.142615999983</v>
      </c>
      <c r="AH47" s="376">
        <f t="shared" si="97"/>
        <v>2849.6626437599994</v>
      </c>
      <c r="AI47" s="373">
        <f t="shared" si="58"/>
        <v>7632.615624059199</v>
      </c>
      <c r="AJ47" s="373">
        <f t="shared" si="59"/>
        <v>84434.44870399998</v>
      </c>
      <c r="AK47" s="376">
        <f t="shared" si="98"/>
        <v>2849.6626437599994</v>
      </c>
      <c r="AL47" s="373">
        <f t="shared" si="60"/>
        <v>7632.615624059199</v>
      </c>
      <c r="AM47" s="373">
        <f t="shared" si="61"/>
        <v>94988.754791999978</v>
      </c>
      <c r="AN47" s="377">
        <f>(AM47-88000)*0.35+(88000-AJ47)*0.27</f>
        <v>3408.7630271199978</v>
      </c>
      <c r="AO47" s="373">
        <f t="shared" si="62"/>
        <v>7073.5152406992001</v>
      </c>
      <c r="AP47" s="373">
        <f t="shared" si="63"/>
        <v>105543.06087999998</v>
      </c>
      <c r="AQ47" s="377">
        <f>H47*0.35</f>
        <v>3694.0071307999988</v>
      </c>
      <c r="AR47" s="373">
        <f t="shared" si="81"/>
        <v>6788.2711370191992</v>
      </c>
      <c r="AS47" s="373">
        <f t="shared" si="64"/>
        <v>116097.36696799997</v>
      </c>
      <c r="AT47" s="377">
        <f>H47*0.35</f>
        <v>3694.0071307999988</v>
      </c>
      <c r="AU47" s="373">
        <f t="shared" si="66"/>
        <v>6788.2711370191992</v>
      </c>
      <c r="AV47" s="373">
        <f t="shared" si="67"/>
        <v>126651.67305599997</v>
      </c>
      <c r="AW47" s="377">
        <f t="shared" si="68"/>
        <v>3694.0071307999988</v>
      </c>
      <c r="AX47" s="373">
        <f t="shared" si="69"/>
        <v>6788.2711370191992</v>
      </c>
      <c r="AY47" s="292"/>
      <c r="BA47" s="358"/>
    </row>
    <row r="48" spans="1:53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43"/>
        <v>13988.856</v>
      </c>
      <c r="G48" s="233">
        <v>359</v>
      </c>
      <c r="H48" s="353">
        <f t="shared" si="70"/>
        <v>10554.306087999998</v>
      </c>
      <c r="I48" s="363">
        <v>0.7</v>
      </c>
      <c r="J48" s="362">
        <v>6000</v>
      </c>
      <c r="K48" s="361">
        <f t="shared" si="12"/>
        <v>7620.128194985864</v>
      </c>
      <c r="L48" s="390">
        <v>5990.7884312490669</v>
      </c>
      <c r="M48" s="390">
        <f t="shared" si="71"/>
        <v>1629.3397637367971</v>
      </c>
      <c r="N48" s="372">
        <f t="shared" si="13"/>
        <v>72.027820180799978</v>
      </c>
      <c r="O48" s="373">
        <f t="shared" si="44"/>
        <v>10554.306087999998</v>
      </c>
      <c r="P48" s="374">
        <f t="shared" si="100"/>
        <v>1610.8612175999995</v>
      </c>
      <c r="Q48" s="373">
        <f t="shared" si="46"/>
        <v>8871.4170502191992</v>
      </c>
      <c r="R48" s="373">
        <f t="shared" si="47"/>
        <v>21108.612175999995</v>
      </c>
      <c r="S48" s="374">
        <f t="shared" si="95"/>
        <v>2138.5765219999994</v>
      </c>
      <c r="T48" s="373">
        <f t="shared" si="48"/>
        <v>8343.7017458191985</v>
      </c>
      <c r="U48" s="373">
        <f t="shared" si="49"/>
        <v>31662.918263999993</v>
      </c>
      <c r="V48" s="376">
        <f>(U48-25000)*0.27+(25000-R48)*0.2</f>
        <v>2577.2654960799991</v>
      </c>
      <c r="W48" s="373">
        <f t="shared" si="51"/>
        <v>7905.0127717391988</v>
      </c>
      <c r="X48" s="373">
        <f t="shared" si="52"/>
        <v>42217.22435199999</v>
      </c>
      <c r="Y48" s="376">
        <f t="shared" si="53"/>
        <v>2849.6626437599994</v>
      </c>
      <c r="Z48" s="373">
        <f t="shared" si="54"/>
        <v>7632.615624059199</v>
      </c>
      <c r="AA48" s="373">
        <f t="shared" si="55"/>
        <v>52771.530439999988</v>
      </c>
      <c r="AB48" s="376">
        <f t="shared" si="82"/>
        <v>2849.6626437599994</v>
      </c>
      <c r="AC48" s="373">
        <f t="shared" si="74"/>
        <v>7632.615624059199</v>
      </c>
      <c r="AD48" s="373">
        <f t="shared" si="56"/>
        <v>63325.836527999985</v>
      </c>
      <c r="AE48" s="376">
        <f t="shared" si="91"/>
        <v>2849.6626437599994</v>
      </c>
      <c r="AF48" s="373">
        <f t="shared" si="76"/>
        <v>7632.615624059199</v>
      </c>
      <c r="AG48" s="373">
        <f t="shared" si="57"/>
        <v>73880.142615999983</v>
      </c>
      <c r="AH48" s="376">
        <f t="shared" si="97"/>
        <v>2849.6626437599994</v>
      </c>
      <c r="AI48" s="373">
        <f t="shared" si="58"/>
        <v>7632.615624059199</v>
      </c>
      <c r="AJ48" s="373">
        <f t="shared" si="59"/>
        <v>84434.44870399998</v>
      </c>
      <c r="AK48" s="376">
        <f t="shared" si="98"/>
        <v>2849.6626437599994</v>
      </c>
      <c r="AL48" s="373">
        <f t="shared" si="60"/>
        <v>7632.615624059199</v>
      </c>
      <c r="AM48" s="373">
        <f t="shared" si="61"/>
        <v>94988.754791999978</v>
      </c>
      <c r="AN48" s="377">
        <f>(AM48-88000)*0.35+(88000-AJ48)*0.27</f>
        <v>3408.7630271199978</v>
      </c>
      <c r="AO48" s="373">
        <f t="shared" si="62"/>
        <v>7073.5152406992001</v>
      </c>
      <c r="AP48" s="373">
        <f t="shared" si="63"/>
        <v>105543.06087999998</v>
      </c>
      <c r="AQ48" s="377">
        <f>H48*0.35</f>
        <v>3694.0071307999988</v>
      </c>
      <c r="AR48" s="373">
        <f t="shared" si="81"/>
        <v>6788.2711370191992</v>
      </c>
      <c r="AS48" s="373">
        <f t="shared" si="64"/>
        <v>116097.36696799997</v>
      </c>
      <c r="AT48" s="377">
        <f>H48*0.35</f>
        <v>3694.0071307999988</v>
      </c>
      <c r="AU48" s="373">
        <f t="shared" si="66"/>
        <v>6788.2711370191992</v>
      </c>
      <c r="AV48" s="373">
        <f t="shared" si="67"/>
        <v>126651.67305599997</v>
      </c>
      <c r="AW48" s="377">
        <f>H48*0.35</f>
        <v>3694.0071307999988</v>
      </c>
      <c r="AX48" s="373">
        <f t="shared" si="69"/>
        <v>6788.2711370191992</v>
      </c>
      <c r="AY48" s="292"/>
      <c r="BA48" s="358"/>
    </row>
    <row r="49" spans="1:53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43"/>
        <v>10991.243999999999</v>
      </c>
      <c r="G49" s="233">
        <v>359</v>
      </c>
      <c r="H49" s="353">
        <f t="shared" si="70"/>
        <v>8581.8773919999985</v>
      </c>
      <c r="I49" s="363">
        <v>0.7</v>
      </c>
      <c r="J49" s="362">
        <v>6100</v>
      </c>
      <c r="K49" s="361">
        <f t="shared" si="12"/>
        <v>6353.3771806794648</v>
      </c>
      <c r="L49" s="390">
        <v>6063.3061811351463</v>
      </c>
      <c r="M49" s="390">
        <f t="shared" si="71"/>
        <v>290.07099954431851</v>
      </c>
      <c r="N49" s="372">
        <f t="shared" si="13"/>
        <v>59.009790787199989</v>
      </c>
      <c r="O49" s="373">
        <f t="shared" si="44"/>
        <v>8581.8773919999985</v>
      </c>
      <c r="P49" s="378">
        <f t="shared" si="94"/>
        <v>1287.2816087999997</v>
      </c>
      <c r="Q49" s="373">
        <f t="shared" si="46"/>
        <v>7235.5859924127981</v>
      </c>
      <c r="R49" s="373">
        <f t="shared" si="47"/>
        <v>17163.754783999997</v>
      </c>
      <c r="S49" s="374">
        <f t="shared" si="95"/>
        <v>1645.4693479999999</v>
      </c>
      <c r="T49" s="373">
        <f t="shared" si="48"/>
        <v>6877.3982532127984</v>
      </c>
      <c r="U49" s="373">
        <f t="shared" si="49"/>
        <v>25745.632175999996</v>
      </c>
      <c r="V49" s="376">
        <f t="shared" ref="V49:V51" si="101">(U49-25000)*0.27+(25000-R49)*0.2</f>
        <v>1768.5697307199994</v>
      </c>
      <c r="W49" s="373">
        <f t="shared" si="51"/>
        <v>6754.2978704927991</v>
      </c>
      <c r="X49" s="373">
        <f t="shared" si="52"/>
        <v>34327.509567999994</v>
      </c>
      <c r="Y49" s="376">
        <f t="shared" si="53"/>
        <v>2317.1068958399997</v>
      </c>
      <c r="Z49" s="373">
        <f t="shared" si="54"/>
        <v>6205.7607053727988</v>
      </c>
      <c r="AA49" s="373">
        <f t="shared" si="55"/>
        <v>42909.386959999989</v>
      </c>
      <c r="AB49" s="376">
        <f t="shared" si="82"/>
        <v>2317.1068958399997</v>
      </c>
      <c r="AC49" s="373">
        <f t="shared" si="74"/>
        <v>6205.7607053727988</v>
      </c>
      <c r="AD49" s="373">
        <f t="shared" si="56"/>
        <v>51491.264351999991</v>
      </c>
      <c r="AE49" s="376">
        <f t="shared" si="91"/>
        <v>2317.1068958399997</v>
      </c>
      <c r="AF49" s="373">
        <f t="shared" si="76"/>
        <v>6205.7607053727988</v>
      </c>
      <c r="AG49" s="373">
        <f t="shared" si="57"/>
        <v>60073.141743999993</v>
      </c>
      <c r="AH49" s="376">
        <f t="shared" si="97"/>
        <v>2317.1068958399997</v>
      </c>
      <c r="AI49" s="373">
        <f t="shared" si="58"/>
        <v>6205.7607053727988</v>
      </c>
      <c r="AJ49" s="373">
        <f t="shared" si="59"/>
        <v>68655.019135999988</v>
      </c>
      <c r="AK49" s="376">
        <f t="shared" si="98"/>
        <v>2317.1068958399997</v>
      </c>
      <c r="AL49" s="373">
        <f t="shared" si="60"/>
        <v>6205.7607053727988</v>
      </c>
      <c r="AM49" s="373">
        <f t="shared" si="61"/>
        <v>77236.896527999983</v>
      </c>
      <c r="AN49" s="376">
        <f t="shared" ref="AN49:AN54" si="102">H49*0.27</f>
        <v>2317.1068958399997</v>
      </c>
      <c r="AO49" s="373">
        <f t="shared" si="62"/>
        <v>6205.7607053727988</v>
      </c>
      <c r="AP49" s="373">
        <f t="shared" si="63"/>
        <v>85818.773919999978</v>
      </c>
      <c r="AQ49" s="376">
        <f>H49*0.27</f>
        <v>2317.1068958399997</v>
      </c>
      <c r="AR49" s="373">
        <f t="shared" si="81"/>
        <v>6205.7607053727988</v>
      </c>
      <c r="AS49" s="373">
        <f t="shared" si="64"/>
        <v>94400.651311999987</v>
      </c>
      <c r="AT49" s="377">
        <f>(AS49-88000)*0.35+(88000-AP49)*0.27</f>
        <v>2829.1590008000012</v>
      </c>
      <c r="AU49" s="373">
        <f t="shared" si="66"/>
        <v>5693.7086004127968</v>
      </c>
      <c r="AV49" s="373">
        <f t="shared" si="67"/>
        <v>102982.52870399998</v>
      </c>
      <c r="AW49" s="377">
        <f>H49*0.35</f>
        <v>3003.6570871999993</v>
      </c>
      <c r="AX49" s="373">
        <f t="shared" si="69"/>
        <v>5519.2105140127987</v>
      </c>
      <c r="AY49" s="292"/>
      <c r="BA49" s="358"/>
    </row>
    <row r="50" spans="1:53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43"/>
        <v>10991.243999999999</v>
      </c>
      <c r="G50" s="233">
        <v>359</v>
      </c>
      <c r="H50" s="353">
        <f t="shared" si="70"/>
        <v>8581.8773919999985</v>
      </c>
      <c r="I50" s="363">
        <v>0.7</v>
      </c>
      <c r="J50" s="362">
        <v>5400</v>
      </c>
      <c r="K50" s="361">
        <f t="shared" si="12"/>
        <v>6353.3771806794648</v>
      </c>
      <c r="L50" s="390">
        <v>5393.3113372057587</v>
      </c>
      <c r="M50" s="390">
        <f t="shared" si="71"/>
        <v>960.06584347370608</v>
      </c>
      <c r="N50" s="372">
        <f t="shared" si="13"/>
        <v>59.009790787199989</v>
      </c>
      <c r="O50" s="373">
        <f t="shared" si="44"/>
        <v>8581.8773919999985</v>
      </c>
      <c r="P50" s="378">
        <f t="shared" si="94"/>
        <v>1287.2816087999997</v>
      </c>
      <c r="Q50" s="373">
        <f t="shared" si="46"/>
        <v>7235.5859924127981</v>
      </c>
      <c r="R50" s="373">
        <f t="shared" si="47"/>
        <v>17163.754783999997</v>
      </c>
      <c r="S50" s="374">
        <f t="shared" si="95"/>
        <v>1645.4693479999999</v>
      </c>
      <c r="T50" s="373">
        <f t="shared" si="48"/>
        <v>6877.3982532127984</v>
      </c>
      <c r="U50" s="373">
        <f t="shared" si="49"/>
        <v>25745.632175999996</v>
      </c>
      <c r="V50" s="376">
        <f t="shared" si="101"/>
        <v>1768.5697307199994</v>
      </c>
      <c r="W50" s="373">
        <f t="shared" si="51"/>
        <v>6754.2978704927991</v>
      </c>
      <c r="X50" s="373">
        <f t="shared" si="52"/>
        <v>34327.509567999994</v>
      </c>
      <c r="Y50" s="376">
        <f t="shared" si="53"/>
        <v>2317.1068958399997</v>
      </c>
      <c r="Z50" s="373">
        <f t="shared" si="54"/>
        <v>6205.7607053727988</v>
      </c>
      <c r="AA50" s="373">
        <f t="shared" si="55"/>
        <v>42909.386959999989</v>
      </c>
      <c r="AB50" s="376">
        <f t="shared" si="82"/>
        <v>2317.1068958399997</v>
      </c>
      <c r="AC50" s="373">
        <f t="shared" si="74"/>
        <v>6205.7607053727988</v>
      </c>
      <c r="AD50" s="373">
        <f t="shared" si="56"/>
        <v>51491.264351999991</v>
      </c>
      <c r="AE50" s="376">
        <f t="shared" si="91"/>
        <v>2317.1068958399997</v>
      </c>
      <c r="AF50" s="373">
        <f t="shared" si="76"/>
        <v>6205.7607053727988</v>
      </c>
      <c r="AG50" s="373">
        <f t="shared" si="57"/>
        <v>60073.141743999993</v>
      </c>
      <c r="AH50" s="376">
        <f t="shared" si="97"/>
        <v>2317.1068958399997</v>
      </c>
      <c r="AI50" s="373">
        <f t="shared" si="58"/>
        <v>6205.7607053727988</v>
      </c>
      <c r="AJ50" s="373">
        <f t="shared" si="59"/>
        <v>68655.019135999988</v>
      </c>
      <c r="AK50" s="376">
        <f t="shared" si="98"/>
        <v>2317.1068958399997</v>
      </c>
      <c r="AL50" s="373">
        <f t="shared" si="60"/>
        <v>6205.7607053727988</v>
      </c>
      <c r="AM50" s="373">
        <f t="shared" si="61"/>
        <v>77236.896527999983</v>
      </c>
      <c r="AN50" s="376">
        <f t="shared" si="102"/>
        <v>2317.1068958399997</v>
      </c>
      <c r="AO50" s="373">
        <f t="shared" si="62"/>
        <v>6205.7607053727988</v>
      </c>
      <c r="AP50" s="373">
        <f t="shared" si="63"/>
        <v>85818.773919999978</v>
      </c>
      <c r="AQ50" s="376">
        <f>H50*0.27</f>
        <v>2317.1068958399997</v>
      </c>
      <c r="AR50" s="373">
        <f t="shared" si="81"/>
        <v>6205.7607053727988</v>
      </c>
      <c r="AS50" s="373">
        <f t="shared" si="64"/>
        <v>94400.651311999987</v>
      </c>
      <c r="AT50" s="377">
        <f t="shared" ref="AT50:AT51" si="103">(AS50-88000)*0.35+(88000-AP50)*0.27</f>
        <v>2829.1590008000012</v>
      </c>
      <c r="AU50" s="373">
        <f t="shared" si="66"/>
        <v>5693.7086004127968</v>
      </c>
      <c r="AV50" s="373">
        <f t="shared" si="67"/>
        <v>102982.52870399998</v>
      </c>
      <c r="AW50" s="377">
        <f t="shared" ref="AW50:AW51" si="104">H50*0.35</f>
        <v>3003.6570871999993</v>
      </c>
      <c r="AX50" s="373">
        <f t="shared" si="69"/>
        <v>5519.2105140127987</v>
      </c>
      <c r="AY50" s="292"/>
      <c r="BA50" s="358"/>
    </row>
    <row r="51" spans="1:53" ht="28.5" x14ac:dyDescent="0.45">
      <c r="A51" s="718"/>
      <c r="B51" s="394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43"/>
        <v>10991.243999999999</v>
      </c>
      <c r="G51" s="233">
        <v>359</v>
      </c>
      <c r="H51" s="353">
        <f t="shared" si="70"/>
        <v>8581.8773919999985</v>
      </c>
      <c r="I51" s="363">
        <v>0.7</v>
      </c>
      <c r="J51" s="362">
        <v>3900</v>
      </c>
      <c r="K51" s="361">
        <f t="shared" si="12"/>
        <v>6353.3771806794648</v>
      </c>
      <c r="L51" s="390">
        <v>4007.2237019103995</v>
      </c>
      <c r="M51" s="390">
        <f t="shared" si="71"/>
        <v>2346.1534787690653</v>
      </c>
      <c r="N51" s="372">
        <f t="shared" si="13"/>
        <v>59.009790787199989</v>
      </c>
      <c r="O51" s="373">
        <f t="shared" si="44"/>
        <v>8581.8773919999985</v>
      </c>
      <c r="P51" s="378">
        <f t="shared" si="94"/>
        <v>1287.2816087999997</v>
      </c>
      <c r="Q51" s="373">
        <f t="shared" si="46"/>
        <v>7235.5859924127981</v>
      </c>
      <c r="R51" s="373">
        <f t="shared" si="47"/>
        <v>17163.754783999997</v>
      </c>
      <c r="S51" s="374">
        <f t="shared" si="95"/>
        <v>1645.4693479999999</v>
      </c>
      <c r="T51" s="373">
        <f t="shared" si="48"/>
        <v>6877.3982532127984</v>
      </c>
      <c r="U51" s="373">
        <f t="shared" si="49"/>
        <v>25745.632175999996</v>
      </c>
      <c r="V51" s="376">
        <f t="shared" si="101"/>
        <v>1768.5697307199994</v>
      </c>
      <c r="W51" s="373">
        <f t="shared" si="51"/>
        <v>6754.2978704927991</v>
      </c>
      <c r="X51" s="373">
        <f t="shared" si="52"/>
        <v>34327.509567999994</v>
      </c>
      <c r="Y51" s="376">
        <f t="shared" si="53"/>
        <v>2317.1068958399997</v>
      </c>
      <c r="Z51" s="373">
        <f t="shared" si="54"/>
        <v>6205.7607053727988</v>
      </c>
      <c r="AA51" s="373">
        <f t="shared" si="55"/>
        <v>42909.386959999989</v>
      </c>
      <c r="AB51" s="376">
        <f t="shared" si="82"/>
        <v>2317.1068958399997</v>
      </c>
      <c r="AC51" s="373">
        <f t="shared" si="74"/>
        <v>6205.7607053727988</v>
      </c>
      <c r="AD51" s="373">
        <f t="shared" si="56"/>
        <v>51491.264351999991</v>
      </c>
      <c r="AE51" s="376">
        <f t="shared" si="91"/>
        <v>2317.1068958399997</v>
      </c>
      <c r="AF51" s="373">
        <f t="shared" si="76"/>
        <v>6205.7607053727988</v>
      </c>
      <c r="AG51" s="373">
        <f t="shared" si="57"/>
        <v>60073.141743999993</v>
      </c>
      <c r="AH51" s="376">
        <f t="shared" si="97"/>
        <v>2317.1068958399997</v>
      </c>
      <c r="AI51" s="373">
        <f t="shared" si="58"/>
        <v>6205.7607053727988</v>
      </c>
      <c r="AJ51" s="373">
        <f t="shared" si="59"/>
        <v>68655.019135999988</v>
      </c>
      <c r="AK51" s="376">
        <f t="shared" si="98"/>
        <v>2317.1068958399997</v>
      </c>
      <c r="AL51" s="373">
        <f t="shared" si="60"/>
        <v>6205.7607053727988</v>
      </c>
      <c r="AM51" s="373">
        <f t="shared" si="61"/>
        <v>77236.896527999983</v>
      </c>
      <c r="AN51" s="376">
        <f t="shared" si="102"/>
        <v>2317.1068958399997</v>
      </c>
      <c r="AO51" s="373">
        <f t="shared" si="62"/>
        <v>6205.7607053727988</v>
      </c>
      <c r="AP51" s="373">
        <f t="shared" si="63"/>
        <v>85818.773919999978</v>
      </c>
      <c r="AQ51" s="376">
        <f>H51*0.27</f>
        <v>2317.1068958399997</v>
      </c>
      <c r="AR51" s="373">
        <f t="shared" si="81"/>
        <v>6205.7607053727988</v>
      </c>
      <c r="AS51" s="373">
        <f t="shared" si="64"/>
        <v>94400.651311999987</v>
      </c>
      <c r="AT51" s="377">
        <f t="shared" si="103"/>
        <v>2829.1590008000012</v>
      </c>
      <c r="AU51" s="373">
        <f t="shared" si="66"/>
        <v>5693.7086004127968</v>
      </c>
      <c r="AV51" s="373">
        <f t="shared" si="67"/>
        <v>102982.52870399998</v>
      </c>
      <c r="AW51" s="377">
        <f t="shared" si="104"/>
        <v>3003.6570871999993</v>
      </c>
      <c r="AX51" s="373">
        <f t="shared" si="69"/>
        <v>5519.2105140127987</v>
      </c>
      <c r="AY51" s="292"/>
      <c r="BA51" s="358"/>
    </row>
    <row r="52" spans="1:53" ht="30.75" customHeight="1" x14ac:dyDescent="0.45">
      <c r="A52" s="719"/>
      <c r="B52" s="392" t="s">
        <v>199</v>
      </c>
      <c r="C52" s="290">
        <v>125</v>
      </c>
      <c r="D52" s="238">
        <v>3331</v>
      </c>
      <c r="E52" s="238">
        <v>4163</v>
      </c>
      <c r="F52" s="238">
        <f t="shared" si="43"/>
        <v>7494</v>
      </c>
      <c r="G52" s="233">
        <v>359</v>
      </c>
      <c r="H52" s="353">
        <f t="shared" si="70"/>
        <v>5711.2539999999999</v>
      </c>
      <c r="I52" s="363">
        <v>0.7</v>
      </c>
      <c r="J52" s="362">
        <v>3800</v>
      </c>
      <c r="K52" s="361">
        <f t="shared" si="12"/>
        <v>4376.6517435999995</v>
      </c>
      <c r="L52" s="390">
        <v>3810.4870739999988</v>
      </c>
      <c r="M52" s="390">
        <f t="shared" si="71"/>
        <v>566.16466960000071</v>
      </c>
      <c r="N52" s="372">
        <f t="shared" si="13"/>
        <v>40.063676399999999</v>
      </c>
      <c r="O52" s="373">
        <f t="shared" si="44"/>
        <v>5711.2539999999999</v>
      </c>
      <c r="P52" s="378">
        <f t="shared" si="94"/>
        <v>856.68809999999996</v>
      </c>
      <c r="Q52" s="373">
        <f t="shared" si="46"/>
        <v>4814.5022235999995</v>
      </c>
      <c r="R52" s="373">
        <f t="shared" si="47"/>
        <v>11422.508</v>
      </c>
      <c r="S52" s="374">
        <f>(R52-10000)*0.2+(10000-O52)*0.15</f>
        <v>927.81349999999998</v>
      </c>
      <c r="T52" s="373">
        <f t="shared" si="48"/>
        <v>4743.3768235999996</v>
      </c>
      <c r="U52" s="373">
        <f t="shared" si="49"/>
        <v>17133.761999999999</v>
      </c>
      <c r="V52" s="374">
        <f>H52*0.2</f>
        <v>1142.2508</v>
      </c>
      <c r="W52" s="373">
        <f t="shared" si="51"/>
        <v>4528.9395236</v>
      </c>
      <c r="X52" s="373">
        <f t="shared" si="52"/>
        <v>22845.016</v>
      </c>
      <c r="Y52" s="374">
        <f>H52*0.2</f>
        <v>1142.2508</v>
      </c>
      <c r="Z52" s="373">
        <f t="shared" si="54"/>
        <v>4528.9395236</v>
      </c>
      <c r="AA52" s="373">
        <f t="shared" si="55"/>
        <v>28556.27</v>
      </c>
      <c r="AB52" s="374">
        <f>(AA52-25000)*0.27+(25000-X52)*0.2</f>
        <v>1391.1897000000004</v>
      </c>
      <c r="AC52" s="373">
        <f t="shared" si="74"/>
        <v>4280.000623599999</v>
      </c>
      <c r="AD52" s="373">
        <f t="shared" si="56"/>
        <v>34267.523999999998</v>
      </c>
      <c r="AE52" s="376">
        <f t="shared" si="91"/>
        <v>1542.0385800000001</v>
      </c>
      <c r="AF52" s="373">
        <f t="shared" si="76"/>
        <v>4129.1517435999995</v>
      </c>
      <c r="AG52" s="373">
        <f t="shared" si="57"/>
        <v>39978.777999999998</v>
      </c>
      <c r="AH52" s="376">
        <f t="shared" si="97"/>
        <v>1542.0385800000001</v>
      </c>
      <c r="AI52" s="373">
        <f t="shared" si="58"/>
        <v>4129.1517435999995</v>
      </c>
      <c r="AJ52" s="373">
        <f t="shared" si="59"/>
        <v>45690.031999999999</v>
      </c>
      <c r="AK52" s="376">
        <f t="shared" si="98"/>
        <v>1542.0385800000001</v>
      </c>
      <c r="AL52" s="373">
        <f t="shared" si="60"/>
        <v>4129.1517435999995</v>
      </c>
      <c r="AM52" s="373">
        <f t="shared" si="61"/>
        <v>51401.286</v>
      </c>
      <c r="AN52" s="376">
        <f t="shared" si="102"/>
        <v>1542.0385800000001</v>
      </c>
      <c r="AO52" s="373">
        <f t="shared" si="62"/>
        <v>4129.1517435999995</v>
      </c>
      <c r="AP52" s="373">
        <f t="shared" si="63"/>
        <v>57112.54</v>
      </c>
      <c r="AQ52" s="376">
        <f>H52*0.27</f>
        <v>1542.0385800000001</v>
      </c>
      <c r="AR52" s="373">
        <f t="shared" si="81"/>
        <v>4129.1517435999995</v>
      </c>
      <c r="AS52" s="373">
        <f t="shared" si="64"/>
        <v>62823.794000000002</v>
      </c>
      <c r="AT52" s="376">
        <f>H52*0.27</f>
        <v>1542.0385800000001</v>
      </c>
      <c r="AU52" s="373">
        <f t="shared" si="66"/>
        <v>4129.1517435999995</v>
      </c>
      <c r="AV52" s="373">
        <f t="shared" si="67"/>
        <v>68535.047999999995</v>
      </c>
      <c r="AW52" s="376">
        <f>H52*0.27</f>
        <v>1542.0385800000001</v>
      </c>
      <c r="AX52" s="373">
        <f t="shared" si="69"/>
        <v>4129.1517435999995</v>
      </c>
      <c r="AY52" s="292"/>
      <c r="BA52" s="358"/>
    </row>
    <row r="53" spans="1:53" ht="33.75" hidden="1" customHeight="1" x14ac:dyDescent="0.45">
      <c r="A53" s="752" t="s">
        <v>173</v>
      </c>
      <c r="B53" s="753"/>
      <c r="C53" s="241">
        <v>125</v>
      </c>
      <c r="D53" s="234">
        <v>3330.68</v>
      </c>
      <c r="E53" s="234">
        <v>4163.3499999999995</v>
      </c>
      <c r="F53" s="234">
        <f t="shared" si="43"/>
        <v>7494.0299999999988</v>
      </c>
      <c r="G53" s="233">
        <v>278</v>
      </c>
      <c r="H53" s="353">
        <f t="shared" si="70"/>
        <v>5596.4868499999993</v>
      </c>
      <c r="I53" s="363">
        <v>0.65</v>
      </c>
      <c r="J53" s="362">
        <v>3023</v>
      </c>
      <c r="K53" s="361">
        <f t="shared" si="12"/>
        <v>4294.1637872900001</v>
      </c>
      <c r="L53" s="390">
        <v>3048.4967947859991</v>
      </c>
      <c r="M53" s="390">
        <f t="shared" si="71"/>
        <v>1245.666992504001</v>
      </c>
      <c r="N53" s="372">
        <f t="shared" si="13"/>
        <v>38.771613209999998</v>
      </c>
      <c r="O53" s="373">
        <f t="shared" si="44"/>
        <v>5596.4868499999993</v>
      </c>
      <c r="P53" s="378">
        <f t="shared" si="94"/>
        <v>839.47302749999983</v>
      </c>
      <c r="Q53" s="373">
        <f t="shared" si="46"/>
        <v>4718.2422092899988</v>
      </c>
      <c r="R53" s="373">
        <f t="shared" si="47"/>
        <v>11192.973699999999</v>
      </c>
      <c r="S53" s="374">
        <f>(R53-10000)*0.2+(10000-O53)*0.15</f>
        <v>899.12171249999983</v>
      </c>
      <c r="T53" s="373">
        <f t="shared" si="48"/>
        <v>4658.5935242899996</v>
      </c>
      <c r="U53" s="373">
        <f t="shared" si="49"/>
        <v>16789.460549999996</v>
      </c>
      <c r="V53" s="374">
        <f>H53*0.2</f>
        <v>1119.29737</v>
      </c>
      <c r="W53" s="373">
        <f t="shared" si="51"/>
        <v>4438.4178667899987</v>
      </c>
      <c r="X53" s="373">
        <f t="shared" si="52"/>
        <v>22385.947399999997</v>
      </c>
      <c r="Y53" s="374">
        <f t="shared" ref="Y53:Y54" si="105">H53*0.2</f>
        <v>1119.29737</v>
      </c>
      <c r="Z53" s="373">
        <f t="shared" si="54"/>
        <v>4438.4178667899987</v>
      </c>
      <c r="AA53" s="373">
        <f t="shared" si="55"/>
        <v>27982.434249999998</v>
      </c>
      <c r="AB53" s="374">
        <f>H53*0.2</f>
        <v>1119.29737</v>
      </c>
      <c r="AC53" s="373">
        <f t="shared" si="74"/>
        <v>4438.4178667899987</v>
      </c>
      <c r="AD53" s="373">
        <f t="shared" si="56"/>
        <v>33578.921099999992</v>
      </c>
      <c r="AE53" s="374">
        <f>H53*0.2</f>
        <v>1119.29737</v>
      </c>
      <c r="AF53" s="373">
        <f t="shared" si="76"/>
        <v>4438.4178667899987</v>
      </c>
      <c r="AG53" s="373">
        <f t="shared" si="57"/>
        <v>39175.407949999993</v>
      </c>
      <c r="AH53" s="376">
        <f>(AG53-25000)*0.27+(25000-AD53)*0.2</f>
        <v>2111.5759264999997</v>
      </c>
      <c r="AI53" s="373">
        <f t="shared" si="58"/>
        <v>3446.1393102899992</v>
      </c>
      <c r="AJ53" s="373">
        <f t="shared" si="59"/>
        <v>44771.894799999995</v>
      </c>
      <c r="AK53" s="376">
        <f t="shared" si="98"/>
        <v>1511.0514495</v>
      </c>
      <c r="AL53" s="373">
        <f t="shared" si="60"/>
        <v>4046.6637872899992</v>
      </c>
      <c r="AM53" s="373">
        <f t="shared" si="61"/>
        <v>50368.381649999996</v>
      </c>
      <c r="AN53" s="376">
        <f t="shared" si="102"/>
        <v>1511.0514495</v>
      </c>
      <c r="AO53" s="373">
        <f t="shared" si="62"/>
        <v>4046.6637872899992</v>
      </c>
      <c r="AP53" s="373">
        <f t="shared" si="63"/>
        <v>55964.868499999997</v>
      </c>
      <c r="AQ53" s="376">
        <f t="shared" ref="AQ53:AQ54" si="106">H53*0.27</f>
        <v>1511.0514495</v>
      </c>
      <c r="AR53" s="373">
        <f t="shared" si="81"/>
        <v>4046.6637872899992</v>
      </c>
      <c r="AS53" s="373">
        <f t="shared" si="64"/>
        <v>61561.355349999991</v>
      </c>
      <c r="AT53" s="376">
        <f t="shared" ref="AT53:AT54" si="107">H53*0.27</f>
        <v>1511.0514495</v>
      </c>
      <c r="AU53" s="373">
        <f t="shared" si="66"/>
        <v>4046.6637872899992</v>
      </c>
      <c r="AV53" s="373">
        <f t="shared" si="67"/>
        <v>67157.842199999985</v>
      </c>
      <c r="AW53" s="376">
        <f>H53*0.27</f>
        <v>1511.0514495</v>
      </c>
      <c r="AX53" s="373">
        <f t="shared" si="69"/>
        <v>4046.6637872899992</v>
      </c>
      <c r="AY53" s="292"/>
      <c r="BA53" s="358"/>
    </row>
    <row r="54" spans="1:53" ht="29.25" hidden="1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43"/>
        <v>4996.01</v>
      </c>
      <c r="G54" s="233">
        <v>278</v>
      </c>
      <c r="H54" s="353">
        <f t="shared" si="70"/>
        <v>3746.2879999999996</v>
      </c>
      <c r="I54" s="363">
        <v>0.65</v>
      </c>
      <c r="J54" s="362">
        <v>2822</v>
      </c>
      <c r="K54" s="361">
        <f t="shared" si="12"/>
        <v>2955.7299391999991</v>
      </c>
      <c r="L54" s="390">
        <v>2921.7573390399998</v>
      </c>
      <c r="M54" s="390">
        <f t="shared" si="71"/>
        <v>33.972600159999274</v>
      </c>
      <c r="N54" s="372">
        <f t="shared" si="13"/>
        <v>26.560300799999997</v>
      </c>
      <c r="O54" s="373">
        <f t="shared" si="44"/>
        <v>3746.2879999999996</v>
      </c>
      <c r="P54" s="378">
        <f t="shared" si="94"/>
        <v>561.94319999999993</v>
      </c>
      <c r="Q54" s="373">
        <f t="shared" si="46"/>
        <v>3157.7844992</v>
      </c>
      <c r="R54" s="373">
        <f t="shared" si="47"/>
        <v>7492.5759999999991</v>
      </c>
      <c r="S54" s="378">
        <f>H54*0.15</f>
        <v>561.94319999999993</v>
      </c>
      <c r="T54" s="373">
        <f t="shared" si="48"/>
        <v>3157.7844992</v>
      </c>
      <c r="U54" s="373">
        <f t="shared" si="49"/>
        <v>11238.863999999998</v>
      </c>
      <c r="V54" s="374">
        <f>(U54-10000)*0.2+(10000-R54)*0.15</f>
        <v>623.88639999999964</v>
      </c>
      <c r="W54" s="373">
        <f t="shared" si="51"/>
        <v>3095.8412992000003</v>
      </c>
      <c r="X54" s="373">
        <f t="shared" si="52"/>
        <v>14985.151999999998</v>
      </c>
      <c r="Y54" s="374">
        <f t="shared" si="105"/>
        <v>749.25759999999991</v>
      </c>
      <c r="Z54" s="373">
        <f t="shared" si="54"/>
        <v>2970.4700991999998</v>
      </c>
      <c r="AA54" s="373">
        <f t="shared" si="55"/>
        <v>18731.439999999999</v>
      </c>
      <c r="AB54" s="374">
        <f>H54*0.2</f>
        <v>749.25759999999991</v>
      </c>
      <c r="AC54" s="373">
        <f t="shared" si="74"/>
        <v>2970.4700991999998</v>
      </c>
      <c r="AD54" s="373">
        <f t="shared" si="56"/>
        <v>22477.727999999996</v>
      </c>
      <c r="AE54" s="374">
        <f>H54*0.2</f>
        <v>749.25759999999991</v>
      </c>
      <c r="AF54" s="373">
        <f t="shared" si="76"/>
        <v>2970.4700991999998</v>
      </c>
      <c r="AG54" s="373">
        <f t="shared" si="57"/>
        <v>26224.015999999996</v>
      </c>
      <c r="AH54" s="376">
        <f>(AG54-25000)*0.27+(25000-AD54)*0.2</f>
        <v>834.93871999999988</v>
      </c>
      <c r="AI54" s="373">
        <f t="shared" si="58"/>
        <v>2884.7889791999996</v>
      </c>
      <c r="AJ54" s="373">
        <f t="shared" si="59"/>
        <v>29970.303999999996</v>
      </c>
      <c r="AK54" s="376">
        <f t="shared" si="98"/>
        <v>1011.49776</v>
      </c>
      <c r="AL54" s="373">
        <f t="shared" si="60"/>
        <v>2708.2299391999995</v>
      </c>
      <c r="AM54" s="373">
        <f t="shared" si="61"/>
        <v>33716.591999999997</v>
      </c>
      <c r="AN54" s="376">
        <f t="shared" si="102"/>
        <v>1011.49776</v>
      </c>
      <c r="AO54" s="373">
        <f t="shared" si="62"/>
        <v>2708.2299391999995</v>
      </c>
      <c r="AP54" s="373">
        <f t="shared" si="63"/>
        <v>37462.879999999997</v>
      </c>
      <c r="AQ54" s="376">
        <f t="shared" si="106"/>
        <v>1011.49776</v>
      </c>
      <c r="AR54" s="373">
        <f t="shared" si="81"/>
        <v>2708.2299391999995</v>
      </c>
      <c r="AS54" s="373">
        <f t="shared" si="64"/>
        <v>41209.167999999998</v>
      </c>
      <c r="AT54" s="376">
        <f t="shared" si="107"/>
        <v>1011.49776</v>
      </c>
      <c r="AU54" s="373">
        <f t="shared" si="66"/>
        <v>2708.2299391999995</v>
      </c>
      <c r="AV54" s="373">
        <f t="shared" si="67"/>
        <v>44955.455999999991</v>
      </c>
      <c r="AW54" s="376">
        <f>H54*0.27</f>
        <v>1011.49776</v>
      </c>
      <c r="AX54" s="373">
        <f t="shared" si="69"/>
        <v>2708.2299391999995</v>
      </c>
      <c r="AY54" s="292"/>
      <c r="BA54" s="358"/>
    </row>
    <row r="55" spans="1:53" x14ac:dyDescent="0.35">
      <c r="AN55" s="379"/>
    </row>
  </sheetData>
  <mergeCells count="11">
    <mergeCell ref="A30:A38"/>
    <mergeCell ref="A39:A46"/>
    <mergeCell ref="A47:A52"/>
    <mergeCell ref="A53:B53"/>
    <mergeCell ref="A54:B54"/>
    <mergeCell ref="A28:B28"/>
    <mergeCell ref="A1:F1"/>
    <mergeCell ref="A4:B4"/>
    <mergeCell ref="A6:A14"/>
    <mergeCell ref="A15:A23"/>
    <mergeCell ref="A24:A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"/>
  <sheetViews>
    <sheetView topLeftCell="B4" zoomScale="80" zoomScaleNormal="80" workbookViewId="0">
      <pane ySplit="25" topLeftCell="A35" activePane="bottomLeft" state="frozen"/>
      <selection activeCell="A4" sqref="A4"/>
      <selection pane="bottomLeft" activeCell="C40" sqref="C40"/>
    </sheetView>
  </sheetViews>
  <sheetFormatPr defaultRowHeight="21" x14ac:dyDescent="0.35"/>
  <cols>
    <col min="1" max="1" width="6.7109375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3.5703125" customWidth="1"/>
    <col min="10" max="10" width="24.42578125" customWidth="1"/>
    <col min="11" max="12" width="22.85546875" customWidth="1"/>
    <col min="13" max="13" width="26" customWidth="1"/>
    <col min="14" max="14" width="13.28515625" style="130" customWidth="1"/>
    <col min="15" max="15" width="16.140625" style="130" bestFit="1" customWidth="1"/>
    <col min="16" max="16" width="14.140625" style="130" bestFit="1" customWidth="1"/>
    <col min="17" max="18" width="16.140625" style="130" bestFit="1" customWidth="1"/>
    <col min="19" max="19" width="14.140625" style="130" bestFit="1" customWidth="1"/>
    <col min="20" max="21" width="16.140625" style="130" bestFit="1" customWidth="1"/>
    <col min="22" max="22" width="14.140625" style="130" bestFit="1" customWidth="1"/>
    <col min="23" max="24" width="16.140625" style="130" bestFit="1" customWidth="1"/>
    <col min="25" max="25" width="14.140625" style="130" bestFit="1" customWidth="1"/>
    <col min="26" max="27" width="16.140625" style="130" bestFit="1" customWidth="1"/>
    <col min="28" max="28" width="14.140625" style="130" bestFit="1" customWidth="1"/>
    <col min="29" max="29" width="16.140625" style="130" bestFit="1" customWidth="1"/>
    <col min="30" max="30" width="17.7109375" style="130" bestFit="1" customWidth="1"/>
    <col min="31" max="31" width="14.140625" style="130" bestFit="1" customWidth="1"/>
    <col min="32" max="32" width="16.140625" style="130" bestFit="1" customWidth="1"/>
    <col min="33" max="33" width="17.7109375" style="130" bestFit="1" customWidth="1"/>
    <col min="34" max="34" width="14.140625" style="130" bestFit="1" customWidth="1"/>
    <col min="35" max="35" width="16.140625" style="130" bestFit="1" customWidth="1"/>
    <col min="36" max="36" width="17.7109375" style="130" bestFit="1" customWidth="1"/>
    <col min="37" max="37" width="15.85546875" style="130" customWidth="1"/>
    <col min="38" max="38" width="16.140625" style="130" bestFit="1" customWidth="1"/>
    <col min="39" max="39" width="17.7109375" style="130" bestFit="1" customWidth="1"/>
    <col min="40" max="40" width="14.140625" style="130" bestFit="1" customWidth="1"/>
    <col min="41" max="41" width="16.140625" style="130" bestFit="1" customWidth="1"/>
    <col min="42" max="42" width="17.7109375" style="130" bestFit="1" customWidth="1"/>
    <col min="43" max="43" width="15.7109375" style="130" customWidth="1"/>
    <col min="44" max="44" width="16.140625" style="130" bestFit="1" customWidth="1"/>
    <col min="45" max="45" width="17.7109375" style="130" bestFit="1" customWidth="1"/>
    <col min="46" max="46" width="14.140625" style="130" bestFit="1" customWidth="1"/>
    <col min="47" max="47" width="16.140625" style="130" bestFit="1" customWidth="1"/>
    <col min="48" max="48" width="17.7109375" style="130" bestFit="1" customWidth="1"/>
    <col min="49" max="49" width="14.140625" style="130" bestFit="1" customWidth="1"/>
    <col min="50" max="50" width="16.140625" style="130" bestFit="1" customWidth="1"/>
    <col min="53" max="53" width="17.85546875" bestFit="1" customWidth="1"/>
  </cols>
  <sheetData>
    <row r="1" spans="1:53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3" ht="24" hidden="1" thickBot="1" x14ac:dyDescent="0.4">
      <c r="A2" s="192"/>
      <c r="B2" s="2"/>
      <c r="C2" s="2"/>
      <c r="D2" s="2"/>
      <c r="E2" s="2"/>
      <c r="F2" s="2"/>
      <c r="K2" s="385"/>
      <c r="L2" s="385"/>
      <c r="M2" s="385"/>
    </row>
    <row r="3" spans="1:53" ht="27" hidden="1" thickBot="1" x14ac:dyDescent="0.4">
      <c r="A3" s="236" t="s">
        <v>1</v>
      </c>
      <c r="B3" s="4"/>
      <c r="C3" s="4"/>
      <c r="D3" s="4"/>
      <c r="E3" s="4"/>
      <c r="F3" s="4"/>
    </row>
    <row r="4" spans="1:53" ht="65.25" customHeight="1" x14ac:dyDescent="0.25">
      <c r="A4" s="726" t="s">
        <v>2</v>
      </c>
      <c r="B4" s="726"/>
      <c r="C4" s="462" t="s">
        <v>3</v>
      </c>
      <c r="D4" s="462" t="s">
        <v>229</v>
      </c>
      <c r="E4" s="462" t="s">
        <v>253</v>
      </c>
      <c r="F4" s="462" t="s">
        <v>231</v>
      </c>
      <c r="G4" s="395" t="s">
        <v>244</v>
      </c>
      <c r="H4" s="395" t="s">
        <v>249</v>
      </c>
      <c r="I4" s="352" t="s">
        <v>37</v>
      </c>
      <c r="J4" s="364" t="s">
        <v>279</v>
      </c>
      <c r="K4" s="364" t="s">
        <v>290</v>
      </c>
      <c r="L4" s="389" t="s">
        <v>289</v>
      </c>
      <c r="M4" s="476" t="s">
        <v>288</v>
      </c>
      <c r="N4" s="365" t="s">
        <v>245</v>
      </c>
      <c r="O4" s="365">
        <v>1</v>
      </c>
      <c r="P4" s="365" t="s">
        <v>255</v>
      </c>
      <c r="Q4" s="365" t="s">
        <v>267</v>
      </c>
      <c r="R4" s="365">
        <v>2</v>
      </c>
      <c r="S4" s="365" t="s">
        <v>256</v>
      </c>
      <c r="T4" s="365" t="s">
        <v>268</v>
      </c>
      <c r="U4" s="365">
        <v>3</v>
      </c>
      <c r="V4" s="365" t="s">
        <v>257</v>
      </c>
      <c r="W4" s="365" t="s">
        <v>278</v>
      </c>
      <c r="X4" s="365">
        <v>4</v>
      </c>
      <c r="Y4" s="365" t="s">
        <v>258</v>
      </c>
      <c r="Z4" s="365" t="s">
        <v>277</v>
      </c>
      <c r="AA4" s="365">
        <v>5</v>
      </c>
      <c r="AB4" s="365" t="s">
        <v>259</v>
      </c>
      <c r="AC4" s="365" t="s">
        <v>276</v>
      </c>
      <c r="AD4" s="365">
        <v>6</v>
      </c>
      <c r="AE4" s="365" t="s">
        <v>260</v>
      </c>
      <c r="AF4" s="365" t="s">
        <v>275</v>
      </c>
      <c r="AG4" s="365">
        <v>7</v>
      </c>
      <c r="AH4" s="365" t="s">
        <v>261</v>
      </c>
      <c r="AI4" s="365" t="s">
        <v>274</v>
      </c>
      <c r="AJ4" s="365">
        <v>8</v>
      </c>
      <c r="AK4" s="365" t="s">
        <v>262</v>
      </c>
      <c r="AL4" s="365" t="s">
        <v>273</v>
      </c>
      <c r="AM4" s="365">
        <v>9</v>
      </c>
      <c r="AN4" s="365" t="s">
        <v>263</v>
      </c>
      <c r="AO4" s="365" t="s">
        <v>272</v>
      </c>
      <c r="AP4" s="365">
        <v>10</v>
      </c>
      <c r="AQ4" s="365" t="s">
        <v>264</v>
      </c>
      <c r="AR4" s="365" t="s">
        <v>271</v>
      </c>
      <c r="AS4" s="365">
        <v>11</v>
      </c>
      <c r="AT4" s="365" t="s">
        <v>265</v>
      </c>
      <c r="AU4" s="365" t="s">
        <v>270</v>
      </c>
      <c r="AV4" s="365">
        <v>12</v>
      </c>
      <c r="AW4" s="366" t="s">
        <v>266</v>
      </c>
      <c r="AX4" s="366" t="s">
        <v>269</v>
      </c>
    </row>
    <row r="5" spans="1:53" s="233" customFormat="1" ht="33.75" hidden="1" customHeight="1" x14ac:dyDescent="0.45">
      <c r="A5" s="229"/>
      <c r="B5" s="346"/>
      <c r="C5" s="231"/>
      <c r="D5" s="231"/>
      <c r="E5" s="231"/>
      <c r="F5" s="231"/>
      <c r="H5" s="357">
        <v>0.93</v>
      </c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1"/>
    </row>
    <row r="6" spans="1:53" s="233" customFormat="1" ht="30" hidden="1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18227.499739999999</v>
      </c>
      <c r="I6" s="463">
        <v>0.7</v>
      </c>
      <c r="J6" s="362">
        <v>12600</v>
      </c>
      <c r="K6" s="361">
        <f>((Q6+T6+W6+Z6+AC6+AF6+AI6+AL6+AO6+AR6+AU6+AX6)/12)+60</f>
        <v>12559.370599382668</v>
      </c>
      <c r="L6" s="390"/>
      <c r="M6" s="390">
        <f t="shared" ref="M6:M28" si="0">K6/0.93</f>
        <v>13504.699569228675</v>
      </c>
      <c r="N6" s="372">
        <f>(H6+G6)*0.0066</f>
        <v>122.67089828399999</v>
      </c>
      <c r="O6" s="373">
        <f>$H6*O$4</f>
        <v>18227.499739999999</v>
      </c>
      <c r="P6" s="374">
        <f>(O6-10000)*0.2+10000*0.15</f>
        <v>3145.4999479999997</v>
      </c>
      <c r="Q6" s="373">
        <f>H6-N6-P6</f>
        <v>14959.328893716</v>
      </c>
      <c r="R6" s="373">
        <f>$H6*2</f>
        <v>36454.999479999999</v>
      </c>
      <c r="S6" s="376">
        <f>(R6-25000)*0.27+4500-P6</f>
        <v>4447.3499116000003</v>
      </c>
      <c r="T6" s="373">
        <f>H6-N6-S6</f>
        <v>13657.478930116</v>
      </c>
      <c r="U6" s="373">
        <f t="shared" ref="U6:U28" si="1">H6*3</f>
        <v>54682.499219999998</v>
      </c>
      <c r="V6" s="376">
        <f>O6*0.27</f>
        <v>4921.4249298000004</v>
      </c>
      <c r="W6" s="373">
        <f>H6-N6-V6</f>
        <v>13183.403911916001</v>
      </c>
      <c r="X6" s="373">
        <f t="shared" ref="X6:X28" si="2">H6*4</f>
        <v>72909.998959999997</v>
      </c>
      <c r="Y6" s="376">
        <f t="shared" ref="Y6:Y22" si="3">H6*0.27</f>
        <v>4921.4249298000004</v>
      </c>
      <c r="Z6" s="373">
        <f>H6-N6-Y6</f>
        <v>13183.403911916001</v>
      </c>
      <c r="AA6" s="373">
        <f t="shared" ref="AA6:AA28" si="4">H6*5</f>
        <v>91137.498699999996</v>
      </c>
      <c r="AB6" s="377">
        <f>(AA6-88000)*0.35+(88000-X6)*0.27</f>
        <v>5172.4248257999998</v>
      </c>
      <c r="AC6" s="373">
        <f>H6-N6-AB6</f>
        <v>12932.404015915999</v>
      </c>
      <c r="AD6" s="373">
        <f t="shared" ref="AD6:AD28" si="5">H6*6</f>
        <v>109364.99844</v>
      </c>
      <c r="AE6" s="377">
        <f>$H$6*0.35</f>
        <v>6379.6249089999992</v>
      </c>
      <c r="AF6" s="373">
        <f>H6-N6-AE6</f>
        <v>11725.203932716002</v>
      </c>
      <c r="AG6" s="373">
        <f t="shared" ref="AG6:AG28" si="6">H6*7</f>
        <v>127592.49818</v>
      </c>
      <c r="AH6" s="377">
        <f>$H$6*0.35</f>
        <v>6379.6249089999992</v>
      </c>
      <c r="AI6" s="373">
        <f>H6-N6-AH6</f>
        <v>11725.203932716002</v>
      </c>
      <c r="AJ6" s="373">
        <f t="shared" ref="AJ6:AJ28" si="7">H6*8</f>
        <v>145819.99791999999</v>
      </c>
      <c r="AK6" s="377">
        <f>$H$6*0.35</f>
        <v>6379.6249089999992</v>
      </c>
      <c r="AL6" s="373">
        <f>H6-N6-AK6</f>
        <v>11725.203932716002</v>
      </c>
      <c r="AM6" s="373">
        <f t="shared" ref="AM6:AM28" si="8">H6*9</f>
        <v>164047.49765999999</v>
      </c>
      <c r="AN6" s="377">
        <f>$H$6*0.35</f>
        <v>6379.6249089999992</v>
      </c>
      <c r="AO6" s="373">
        <f>H6-N6-AN6</f>
        <v>11725.203932716002</v>
      </c>
      <c r="AP6" s="373">
        <f t="shared" ref="AP6:AP28" si="9">H6*10</f>
        <v>182274.99739999999</v>
      </c>
      <c r="AQ6" s="377">
        <f>$H$6*0.35</f>
        <v>6379.6249089999992</v>
      </c>
      <c r="AR6" s="373">
        <f>H6-N6-AQ6</f>
        <v>11725.203932716002</v>
      </c>
      <c r="AS6" s="373">
        <f t="shared" ref="AS6:AS28" si="10">H6*11</f>
        <v>200502.49713999999</v>
      </c>
      <c r="AT6" s="377">
        <f>$H$6*0.35</f>
        <v>6379.6249089999992</v>
      </c>
      <c r="AU6" s="373">
        <f>AR6</f>
        <v>11725.203932716002</v>
      </c>
      <c r="AV6" s="373">
        <f t="shared" ref="AV6:AV28" si="11">H6*12</f>
        <v>218729.99687999999</v>
      </c>
      <c r="AW6" s="377">
        <f>$H$6*0.35</f>
        <v>6379.6249089999992</v>
      </c>
      <c r="AX6" s="373">
        <f>H6-N6-AW6</f>
        <v>11725.203932716002</v>
      </c>
      <c r="AY6" s="371"/>
      <c r="BA6" s="358"/>
    </row>
    <row r="7" spans="1:53" s="233" customFormat="1" ht="30" hidden="1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11924.021305999999</v>
      </c>
      <c r="I7" s="363">
        <v>0.33</v>
      </c>
      <c r="J7" s="362">
        <v>8500</v>
      </c>
      <c r="K7" s="361">
        <f t="shared" ref="K7:K54" si="12">((Q7+T7+W7+Z7+AC7+AF7+AI7+AL7+AO7+AR7+AU7+AX7)/12)+60</f>
        <v>8503.712574947067</v>
      </c>
      <c r="L7" s="390"/>
      <c r="M7" s="390">
        <f t="shared" si="0"/>
        <v>9143.7769623086733</v>
      </c>
      <c r="N7" s="372">
        <f t="shared" ref="N7:N54" si="13">(H7+G7)*0.0066</f>
        <v>81.067940619599995</v>
      </c>
      <c r="O7" s="373">
        <f t="shared" ref="O7:O28" si="14">$H7*O$4</f>
        <v>11924.021305999999</v>
      </c>
      <c r="P7" s="374">
        <f>(O7-10000)*0.2+1500</f>
        <v>1884.8042611999997</v>
      </c>
      <c r="Q7" s="373">
        <f>H7-N7-P7</f>
        <v>9958.1491041804002</v>
      </c>
      <c r="R7" s="373">
        <f t="shared" ref="R7:R28" si="15">$H7*2</f>
        <v>23848.042611999997</v>
      </c>
      <c r="S7" s="374">
        <f>H7*0.2</f>
        <v>2384.8042611999999</v>
      </c>
      <c r="T7" s="373">
        <f>H7-N7-S7</f>
        <v>9458.1491041804002</v>
      </c>
      <c r="U7" s="373">
        <f t="shared" si="1"/>
        <v>35772.063918</v>
      </c>
      <c r="V7" s="376">
        <f>(25000-R7)*0.2+(U7-25000)*0.27</f>
        <v>3138.8487354600006</v>
      </c>
      <c r="W7" s="373">
        <f t="shared" ref="W7:W28" si="16">H7-N7-V7</f>
        <v>8704.104629920399</v>
      </c>
      <c r="X7" s="373">
        <f t="shared" si="2"/>
        <v>47696.085223999995</v>
      </c>
      <c r="Y7" s="376">
        <f t="shared" si="3"/>
        <v>3219.4857526199999</v>
      </c>
      <c r="Z7" s="373">
        <f>H7-N7-Y7</f>
        <v>8623.4676127603998</v>
      </c>
      <c r="AA7" s="373">
        <f t="shared" si="4"/>
        <v>59620.10652999999</v>
      </c>
      <c r="AB7" s="376">
        <f t="shared" ref="AB7:AB24" si="17">H7*0.27</f>
        <v>3219.4857526199999</v>
      </c>
      <c r="AC7" s="373">
        <f t="shared" ref="AC7:AC28" si="18">H7-N7-AB7</f>
        <v>8623.4676127603998</v>
      </c>
      <c r="AD7" s="373">
        <f t="shared" si="5"/>
        <v>71544.127836</v>
      </c>
      <c r="AE7" s="376">
        <f t="shared" ref="AE7:AE14" si="19">H7*0.27</f>
        <v>3219.4857526199999</v>
      </c>
      <c r="AF7" s="373">
        <f t="shared" ref="AF7:AF28" si="20">H7-N7-AE7</f>
        <v>8623.4676127603998</v>
      </c>
      <c r="AG7" s="373">
        <f t="shared" si="6"/>
        <v>83468.149141999995</v>
      </c>
      <c r="AH7" s="376">
        <f>H7*0.27</f>
        <v>3219.4857526199999</v>
      </c>
      <c r="AI7" s="373">
        <f t="shared" ref="AI7:AI28" si="21">H7-N7-AH7</f>
        <v>8623.4676127603998</v>
      </c>
      <c r="AJ7" s="373">
        <f t="shared" si="7"/>
        <v>95392.17044799999</v>
      </c>
      <c r="AK7" s="377">
        <f>(AJ7-88000)*0.35+(88000-AG7)*0.27</f>
        <v>3810.8593884599977</v>
      </c>
      <c r="AL7" s="373">
        <f t="shared" ref="AL7:AL28" si="22">H7-N7-AK7</f>
        <v>8032.0939769204015</v>
      </c>
      <c r="AM7" s="373">
        <f t="shared" si="8"/>
        <v>107316.19175399998</v>
      </c>
      <c r="AN7" s="377">
        <f>H7*0.35</f>
        <v>4173.4074570999992</v>
      </c>
      <c r="AO7" s="373">
        <f t="shared" ref="AO7:AO28" si="23">H7-N7-AN7</f>
        <v>7669.5459082804</v>
      </c>
      <c r="AP7" s="373">
        <f t="shared" si="9"/>
        <v>119240.21305999998</v>
      </c>
      <c r="AQ7" s="377">
        <f t="shared" ref="AQ7:AQ12" si="24">H7*0.35</f>
        <v>4173.4074570999992</v>
      </c>
      <c r="AR7" s="373">
        <f t="shared" ref="AR7:AR28" si="25">H7-N7-AQ7</f>
        <v>7669.5459082804</v>
      </c>
      <c r="AS7" s="373">
        <f t="shared" si="10"/>
        <v>131164.23436599999</v>
      </c>
      <c r="AT7" s="377">
        <f t="shared" ref="AT7:AT22" si="26">H7*0.35</f>
        <v>4173.4074570999992</v>
      </c>
      <c r="AU7" s="373">
        <f>$H$7-$N$7-AT7</f>
        <v>7669.5459082804</v>
      </c>
      <c r="AV7" s="373">
        <f t="shared" si="11"/>
        <v>143088.255672</v>
      </c>
      <c r="AW7" s="377">
        <f t="shared" ref="AW7" si="27">AT7</f>
        <v>4173.4074570999992</v>
      </c>
      <c r="AX7" s="373">
        <f t="shared" ref="AX7:AX28" si="28">H7-N7-AW7</f>
        <v>7669.5459082804</v>
      </c>
      <c r="AY7" s="371"/>
      <c r="BA7" s="358"/>
    </row>
    <row r="8" spans="1:53" s="233" customFormat="1" ht="30" hidden="1" customHeight="1" x14ac:dyDescent="0.45">
      <c r="A8" s="728"/>
      <c r="B8" s="461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29">D8+E8*$H$5*$I8-G8</f>
        <v>9709.2856400000001</v>
      </c>
      <c r="I8" s="363">
        <v>0.2</v>
      </c>
      <c r="J8" s="362">
        <v>7066</v>
      </c>
      <c r="K8" s="361">
        <f t="shared" si="12"/>
        <v>7078.7516474426657</v>
      </c>
      <c r="L8" s="390"/>
      <c r="M8" s="390">
        <f t="shared" si="0"/>
        <v>7611.560911228672</v>
      </c>
      <c r="N8" s="372">
        <f t="shared" si="13"/>
        <v>66.450685223999997</v>
      </c>
      <c r="O8" s="373">
        <f t="shared" si="14"/>
        <v>9709.2856400000001</v>
      </c>
      <c r="P8" s="378">
        <f>H8*0.15</f>
        <v>1456.392846</v>
      </c>
      <c r="Q8" s="373">
        <f>$H$8-$N$8-P8</f>
        <v>8186.4421087760011</v>
      </c>
      <c r="R8" s="373">
        <f t="shared" si="15"/>
        <v>19418.57128</v>
      </c>
      <c r="S8" s="374">
        <f t="shared" ref="S8" si="30">(R8-10000)*0.2+(10000-O8)*0.15</f>
        <v>1927.3214100000002</v>
      </c>
      <c r="T8" s="373">
        <f>$H$8-$N$8-S8</f>
        <v>7715.5135447760003</v>
      </c>
      <c r="U8" s="373">
        <f t="shared" si="1"/>
        <v>29127.856919999998</v>
      </c>
      <c r="V8" s="376">
        <f>(U8-25000)*0.27+(25000-R8)*0.2</f>
        <v>2230.8071123999998</v>
      </c>
      <c r="W8" s="373">
        <f t="shared" si="16"/>
        <v>7412.027842376001</v>
      </c>
      <c r="X8" s="373">
        <f t="shared" si="2"/>
        <v>38837.14256</v>
      </c>
      <c r="Y8" s="376">
        <f t="shared" si="3"/>
        <v>2621.5071228000002</v>
      </c>
      <c r="Z8" s="373">
        <f>$H$8-$N$8-Y8</f>
        <v>7021.3278319760011</v>
      </c>
      <c r="AA8" s="373">
        <f t="shared" si="4"/>
        <v>48546.428200000002</v>
      </c>
      <c r="AB8" s="376">
        <f t="shared" si="17"/>
        <v>2621.5071228000002</v>
      </c>
      <c r="AC8" s="373">
        <f t="shared" si="18"/>
        <v>7021.3278319760011</v>
      </c>
      <c r="AD8" s="373">
        <f t="shared" si="5"/>
        <v>58255.713839999997</v>
      </c>
      <c r="AE8" s="376">
        <f t="shared" si="19"/>
        <v>2621.5071228000002</v>
      </c>
      <c r="AF8" s="373">
        <f t="shared" si="20"/>
        <v>7021.3278319760011</v>
      </c>
      <c r="AG8" s="373">
        <f t="shared" si="6"/>
        <v>67964.999479999999</v>
      </c>
      <c r="AH8" s="376">
        <f>H8*0.27</f>
        <v>2621.5071228000002</v>
      </c>
      <c r="AI8" s="373">
        <f t="shared" si="21"/>
        <v>7021.3278319760011</v>
      </c>
      <c r="AJ8" s="373">
        <f t="shared" si="7"/>
        <v>77674.28512</v>
      </c>
      <c r="AK8" s="376">
        <f>H8*0.27</f>
        <v>2621.5071228000002</v>
      </c>
      <c r="AL8" s="373">
        <f t="shared" si="22"/>
        <v>7021.3278319760011</v>
      </c>
      <c r="AM8" s="373">
        <f t="shared" si="8"/>
        <v>87383.570760000002</v>
      </c>
      <c r="AN8" s="377">
        <f>(AM8-88000)*0.35+(88000-AJ8)*0.27</f>
        <v>2572.1927836000009</v>
      </c>
      <c r="AO8" s="373">
        <f t="shared" si="23"/>
        <v>7070.6421711759995</v>
      </c>
      <c r="AP8" s="373">
        <f t="shared" si="9"/>
        <v>97092.856400000004</v>
      </c>
      <c r="AQ8" s="377">
        <f t="shared" si="24"/>
        <v>3398.2499739999998</v>
      </c>
      <c r="AR8" s="373">
        <f t="shared" si="25"/>
        <v>6244.5849807760005</v>
      </c>
      <c r="AS8" s="373">
        <f t="shared" si="10"/>
        <v>106802.14204000001</v>
      </c>
      <c r="AT8" s="377">
        <f t="shared" si="26"/>
        <v>3398.2499739999998</v>
      </c>
      <c r="AU8" s="373">
        <f>$H$8-$N$8-AT8</f>
        <v>6244.5849807760005</v>
      </c>
      <c r="AV8" s="373">
        <f t="shared" si="11"/>
        <v>116511.42767999999</v>
      </c>
      <c r="AW8" s="377">
        <f t="shared" ref="AW8:AW22" si="31">H8*0.35</f>
        <v>3398.2499739999998</v>
      </c>
      <c r="AX8" s="373">
        <f t="shared" si="28"/>
        <v>6244.5849807760005</v>
      </c>
      <c r="AY8" s="371"/>
      <c r="BA8" s="358"/>
    </row>
    <row r="9" spans="1:53" s="233" customFormat="1" ht="30" hidden="1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32">D9+E9</f>
        <v>19983.72</v>
      </c>
      <c r="G9" s="233">
        <v>359</v>
      </c>
      <c r="H9" s="353">
        <f t="shared" si="29"/>
        <v>14107.781648</v>
      </c>
      <c r="I9" s="363">
        <v>0.63</v>
      </c>
      <c r="J9" s="362">
        <v>9900</v>
      </c>
      <c r="K9" s="361">
        <f t="shared" si="12"/>
        <v>9908.743978989869</v>
      </c>
      <c r="L9" s="390"/>
      <c r="M9" s="390">
        <f t="shared" si="0"/>
        <v>10654.563418268675</v>
      </c>
      <c r="N9" s="372">
        <f t="shared" si="13"/>
        <v>95.480758876799996</v>
      </c>
      <c r="O9" s="373">
        <f t="shared" si="14"/>
        <v>14107.781648</v>
      </c>
      <c r="P9" s="374">
        <f t="shared" ref="P9:P20" si="33">(O9-10000)*0.2+10000*0.15</f>
        <v>2321.5563296</v>
      </c>
      <c r="Q9" s="373">
        <f>H9-P9-N9</f>
        <v>11690.7445595232</v>
      </c>
      <c r="R9" s="373">
        <f t="shared" si="15"/>
        <v>28215.563296</v>
      </c>
      <c r="S9" s="376">
        <f>(R9-25000)*0.27+(25000-O9)*0.2</f>
        <v>3046.6457603200001</v>
      </c>
      <c r="T9" s="373">
        <f>$H$9-$N$9-S9</f>
        <v>10965.655128803201</v>
      </c>
      <c r="U9" s="373">
        <f t="shared" si="1"/>
        <v>42323.344943999997</v>
      </c>
      <c r="V9" s="376">
        <f t="shared" ref="V9:V10" si="34">O9*0.27</f>
        <v>3809.1010449600003</v>
      </c>
      <c r="W9" s="373">
        <f t="shared" si="16"/>
        <v>10203.1998441632</v>
      </c>
      <c r="X9" s="373">
        <f t="shared" si="2"/>
        <v>56431.126592000001</v>
      </c>
      <c r="Y9" s="376">
        <f t="shared" si="3"/>
        <v>3809.1010449600003</v>
      </c>
      <c r="Z9" s="373">
        <f>$H$9-$N$9-Y9</f>
        <v>10203.1998441632</v>
      </c>
      <c r="AA9" s="373">
        <f t="shared" si="4"/>
        <v>70538.908240000004</v>
      </c>
      <c r="AB9" s="376">
        <f t="shared" si="17"/>
        <v>3809.1010449600003</v>
      </c>
      <c r="AC9" s="373">
        <f t="shared" si="18"/>
        <v>10203.1998441632</v>
      </c>
      <c r="AD9" s="373">
        <f t="shared" si="5"/>
        <v>84646.689887999994</v>
      </c>
      <c r="AE9" s="376">
        <f t="shared" si="19"/>
        <v>3809.1010449600003</v>
      </c>
      <c r="AF9" s="373">
        <f t="shared" si="20"/>
        <v>10203.1998441632</v>
      </c>
      <c r="AG9" s="373">
        <f t="shared" si="6"/>
        <v>98754.471535999997</v>
      </c>
      <c r="AH9" s="377">
        <f>(AG9-88000)*0.35+(88000-AD9)*0.27</f>
        <v>4669.4587678400003</v>
      </c>
      <c r="AI9" s="373">
        <f t="shared" si="21"/>
        <v>9342.8421212832</v>
      </c>
      <c r="AJ9" s="373">
        <f t="shared" si="7"/>
        <v>112862.253184</v>
      </c>
      <c r="AK9" s="377">
        <f>H9*0.35</f>
        <v>4937.7235768</v>
      </c>
      <c r="AL9" s="373">
        <f t="shared" si="22"/>
        <v>9074.5773123231993</v>
      </c>
      <c r="AM9" s="373">
        <f t="shared" si="8"/>
        <v>126970.034832</v>
      </c>
      <c r="AN9" s="377">
        <f>H9*0.35</f>
        <v>4937.7235768</v>
      </c>
      <c r="AO9" s="373">
        <f t="shared" si="23"/>
        <v>9074.5773123231993</v>
      </c>
      <c r="AP9" s="373">
        <f t="shared" si="9"/>
        <v>141077.81648000001</v>
      </c>
      <c r="AQ9" s="377">
        <f t="shared" si="24"/>
        <v>4937.7235768</v>
      </c>
      <c r="AR9" s="373">
        <f t="shared" si="25"/>
        <v>9074.5773123231993</v>
      </c>
      <c r="AS9" s="373">
        <f t="shared" si="10"/>
        <v>155185.59812800001</v>
      </c>
      <c r="AT9" s="377">
        <f t="shared" si="26"/>
        <v>4937.7235768</v>
      </c>
      <c r="AU9" s="373">
        <f>$H$9-$N$9-AT9</f>
        <v>9074.5773123231993</v>
      </c>
      <c r="AV9" s="373">
        <f t="shared" si="11"/>
        <v>169293.37977599999</v>
      </c>
      <c r="AW9" s="377">
        <f t="shared" si="31"/>
        <v>4937.7235768</v>
      </c>
      <c r="AX9" s="373">
        <f t="shared" si="28"/>
        <v>9074.5773123231993</v>
      </c>
      <c r="AY9" s="371"/>
      <c r="BA9" s="358"/>
    </row>
    <row r="10" spans="1:53" s="233" customFormat="1" ht="30" hidden="1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32"/>
        <v>19983.72</v>
      </c>
      <c r="G10" s="233">
        <v>359</v>
      </c>
      <c r="H10" s="353">
        <f t="shared" si="29"/>
        <v>12497.0648</v>
      </c>
      <c r="I10" s="463">
        <v>0.5</v>
      </c>
      <c r="J10" s="362">
        <v>8900</v>
      </c>
      <c r="K10" s="361">
        <f t="shared" si="12"/>
        <v>8872.3745149866663</v>
      </c>
      <c r="L10" s="390"/>
      <c r="M10" s="390">
        <f t="shared" si="0"/>
        <v>9540.1876505232958</v>
      </c>
      <c r="N10" s="372">
        <f t="shared" si="13"/>
        <v>84.850027679999997</v>
      </c>
      <c r="O10" s="373">
        <f t="shared" si="14"/>
        <v>12497.0648</v>
      </c>
      <c r="P10" s="374">
        <f t="shared" si="33"/>
        <v>1999.4129600000001</v>
      </c>
      <c r="Q10" s="373">
        <f>$H$10-$N$10-P10</f>
        <v>10412.80181232</v>
      </c>
      <c r="R10" s="373">
        <f t="shared" si="15"/>
        <v>24994.1296</v>
      </c>
      <c r="S10" s="376">
        <f>H10*0.2</f>
        <v>2499.4129600000001</v>
      </c>
      <c r="T10" s="373">
        <f>$H$10-$N$10-S10</f>
        <v>9912.80181232</v>
      </c>
      <c r="U10" s="373">
        <f t="shared" si="1"/>
        <v>37491.1944</v>
      </c>
      <c r="V10" s="376">
        <f t="shared" si="34"/>
        <v>3374.2074960000004</v>
      </c>
      <c r="W10" s="373">
        <f t="shared" si="16"/>
        <v>9038.0072763199987</v>
      </c>
      <c r="X10" s="373">
        <f t="shared" si="2"/>
        <v>49988.2592</v>
      </c>
      <c r="Y10" s="376">
        <f t="shared" si="3"/>
        <v>3374.2074960000004</v>
      </c>
      <c r="Z10" s="373">
        <f>$H$10-$N$10-Y10</f>
        <v>9038.0072763199987</v>
      </c>
      <c r="AA10" s="373">
        <f t="shared" si="4"/>
        <v>62485.324000000001</v>
      </c>
      <c r="AB10" s="376">
        <f t="shared" si="17"/>
        <v>3374.2074960000004</v>
      </c>
      <c r="AC10" s="373">
        <f t="shared" si="18"/>
        <v>9038.0072763199987</v>
      </c>
      <c r="AD10" s="373">
        <f t="shared" si="5"/>
        <v>74982.388800000001</v>
      </c>
      <c r="AE10" s="376">
        <f t="shared" si="19"/>
        <v>3374.2074960000004</v>
      </c>
      <c r="AF10" s="373">
        <f t="shared" si="20"/>
        <v>9038.0072763199987</v>
      </c>
      <c r="AG10" s="373">
        <f t="shared" si="6"/>
        <v>87479.453600000008</v>
      </c>
      <c r="AH10" s="376">
        <f>H10*0.27</f>
        <v>3374.2074960000004</v>
      </c>
      <c r="AI10" s="373">
        <f t="shared" si="21"/>
        <v>9038.0072763199987</v>
      </c>
      <c r="AJ10" s="373">
        <f t="shared" si="7"/>
        <v>99976.518400000001</v>
      </c>
      <c r="AK10" s="377">
        <f>(AJ10-88000)*0.35+(88000-AG10)*0.27</f>
        <v>4332.328967999998</v>
      </c>
      <c r="AL10" s="373">
        <f t="shared" si="22"/>
        <v>8079.8858043200016</v>
      </c>
      <c r="AM10" s="373">
        <f t="shared" si="8"/>
        <v>112473.58319999999</v>
      </c>
      <c r="AN10" s="377">
        <f>H10*0.35</f>
        <v>4373.9726799999999</v>
      </c>
      <c r="AO10" s="373">
        <f t="shared" si="23"/>
        <v>8038.2420923199998</v>
      </c>
      <c r="AP10" s="373">
        <f t="shared" si="9"/>
        <v>124970.648</v>
      </c>
      <c r="AQ10" s="377">
        <f t="shared" si="24"/>
        <v>4373.9726799999999</v>
      </c>
      <c r="AR10" s="373">
        <f t="shared" si="25"/>
        <v>8038.2420923199998</v>
      </c>
      <c r="AS10" s="373">
        <f t="shared" si="10"/>
        <v>137467.71280000001</v>
      </c>
      <c r="AT10" s="377">
        <f t="shared" si="26"/>
        <v>4373.9726799999999</v>
      </c>
      <c r="AU10" s="373">
        <f>$H$10-$N$10-AT10</f>
        <v>8038.2420923199998</v>
      </c>
      <c r="AV10" s="373">
        <f t="shared" si="11"/>
        <v>149964.7776</v>
      </c>
      <c r="AW10" s="377">
        <f t="shared" si="31"/>
        <v>4373.9726799999999</v>
      </c>
      <c r="AX10" s="373">
        <f t="shared" si="28"/>
        <v>8038.2420923199998</v>
      </c>
      <c r="AY10" s="371"/>
      <c r="BA10" s="358"/>
    </row>
    <row r="11" spans="1:53" s="233" customFormat="1" ht="30" hidden="1" customHeight="1" x14ac:dyDescent="0.45">
      <c r="A11" s="728"/>
      <c r="B11" s="461" t="s">
        <v>234</v>
      </c>
      <c r="C11" s="231">
        <v>300</v>
      </c>
      <c r="D11" s="238">
        <v>6661</v>
      </c>
      <c r="E11" s="234">
        <v>9992.0399999999991</v>
      </c>
      <c r="F11" s="234">
        <f t="shared" si="32"/>
        <v>16653.04</v>
      </c>
      <c r="G11" s="233">
        <v>359</v>
      </c>
      <c r="H11" s="353">
        <f t="shared" si="29"/>
        <v>10204.890824</v>
      </c>
      <c r="I11" s="463">
        <v>0.42</v>
      </c>
      <c r="J11" s="362">
        <v>7400</v>
      </c>
      <c r="K11" s="361">
        <f t="shared" si="12"/>
        <v>7397.624022828265</v>
      </c>
      <c r="L11" s="390"/>
      <c r="M11" s="390">
        <f t="shared" si="0"/>
        <v>7954.4344331486718</v>
      </c>
      <c r="N11" s="372">
        <f t="shared" si="13"/>
        <v>69.721679438400002</v>
      </c>
      <c r="O11" s="373">
        <f t="shared" si="14"/>
        <v>10204.890824</v>
      </c>
      <c r="P11" s="374">
        <f t="shared" si="33"/>
        <v>1540.9781648000001</v>
      </c>
      <c r="Q11" s="373">
        <f>$H$11-$N$11-P11</f>
        <v>8594.190979761599</v>
      </c>
      <c r="R11" s="373">
        <f t="shared" si="15"/>
        <v>20409.781648</v>
      </c>
      <c r="S11" s="374">
        <f>H11*0.2</f>
        <v>2040.9781648000001</v>
      </c>
      <c r="T11" s="373">
        <f>$H$11-$N$11-S11</f>
        <v>8094.1909797615999</v>
      </c>
      <c r="U11" s="373">
        <f t="shared" si="1"/>
        <v>30614.672471999998</v>
      </c>
      <c r="V11" s="376">
        <f>(U11-25000)*0.27+(25000-R11)*0.2</f>
        <v>2434.0052378399996</v>
      </c>
      <c r="W11" s="373">
        <f t="shared" si="16"/>
        <v>7701.1639067216001</v>
      </c>
      <c r="X11" s="373">
        <f t="shared" si="2"/>
        <v>40819.563296</v>
      </c>
      <c r="Y11" s="376">
        <f t="shared" si="3"/>
        <v>2755.3205224800004</v>
      </c>
      <c r="Z11" s="373">
        <f>$H$11-$N$11-Y11</f>
        <v>7379.8486220815994</v>
      </c>
      <c r="AA11" s="373">
        <f t="shared" si="4"/>
        <v>51024.454120000002</v>
      </c>
      <c r="AB11" s="376">
        <f t="shared" si="17"/>
        <v>2755.3205224800004</v>
      </c>
      <c r="AC11" s="373">
        <f t="shared" si="18"/>
        <v>7379.8486220815994</v>
      </c>
      <c r="AD11" s="373">
        <f t="shared" si="5"/>
        <v>61229.344943999997</v>
      </c>
      <c r="AE11" s="376">
        <f t="shared" si="19"/>
        <v>2755.3205224800004</v>
      </c>
      <c r="AF11" s="373">
        <f t="shared" si="20"/>
        <v>7379.8486220815994</v>
      </c>
      <c r="AG11" s="373">
        <f t="shared" si="6"/>
        <v>71434.235767999999</v>
      </c>
      <c r="AH11" s="376">
        <f>H11*0.27</f>
        <v>2755.3205224800004</v>
      </c>
      <c r="AI11" s="373">
        <f t="shared" si="21"/>
        <v>7379.8486220815994</v>
      </c>
      <c r="AJ11" s="373">
        <f t="shared" si="7"/>
        <v>81639.126592000001</v>
      </c>
      <c r="AK11" s="376">
        <f>H11*0.27</f>
        <v>2755.3205224800004</v>
      </c>
      <c r="AL11" s="373">
        <f t="shared" si="22"/>
        <v>7379.8486220815994</v>
      </c>
      <c r="AM11" s="373">
        <f t="shared" si="8"/>
        <v>91844.017416000002</v>
      </c>
      <c r="AN11" s="377">
        <f>(AM11-88000)*0.35+(88000-AJ11)*0.27</f>
        <v>3062.841915760001</v>
      </c>
      <c r="AO11" s="373">
        <f t="shared" si="23"/>
        <v>7072.3272288015987</v>
      </c>
      <c r="AP11" s="373">
        <f t="shared" si="9"/>
        <v>102048.90824</v>
      </c>
      <c r="AQ11" s="377">
        <f t="shared" si="24"/>
        <v>3571.7117883999999</v>
      </c>
      <c r="AR11" s="373">
        <f t="shared" si="25"/>
        <v>6563.4573561615998</v>
      </c>
      <c r="AS11" s="373">
        <f t="shared" si="10"/>
        <v>112253.79906400001</v>
      </c>
      <c r="AT11" s="377">
        <f t="shared" si="26"/>
        <v>3571.7117883999999</v>
      </c>
      <c r="AU11" s="373">
        <f>$H$11-$N$11-AT11</f>
        <v>6563.4573561615998</v>
      </c>
      <c r="AV11" s="373">
        <f t="shared" si="11"/>
        <v>122458.68988799999</v>
      </c>
      <c r="AW11" s="377">
        <f t="shared" si="31"/>
        <v>3571.7117883999999</v>
      </c>
      <c r="AX11" s="373">
        <f t="shared" si="28"/>
        <v>6563.4573561615998</v>
      </c>
      <c r="AY11" s="371"/>
      <c r="BA11" s="358"/>
    </row>
    <row r="12" spans="1:53" s="380" customFormat="1" ht="30" hidden="1" customHeight="1" x14ac:dyDescent="0.45">
      <c r="A12" s="728"/>
      <c r="B12" s="461" t="s">
        <v>236</v>
      </c>
      <c r="C12" s="231">
        <v>300</v>
      </c>
      <c r="D12" s="238">
        <v>6661</v>
      </c>
      <c r="E12" s="234">
        <v>9992.0399999999991</v>
      </c>
      <c r="F12" s="234">
        <f t="shared" si="32"/>
        <v>16653.04</v>
      </c>
      <c r="G12" s="233">
        <v>359</v>
      </c>
      <c r="H12" s="353">
        <f t="shared" si="29"/>
        <v>9926.1129079999992</v>
      </c>
      <c r="I12" s="463">
        <v>0.39</v>
      </c>
      <c r="J12" s="362">
        <v>7200</v>
      </c>
      <c r="K12" s="361">
        <f t="shared" si="12"/>
        <v>7218.2583116738651</v>
      </c>
      <c r="L12" s="390"/>
      <c r="M12" s="390">
        <f t="shared" si="0"/>
        <v>7761.5680770686722</v>
      </c>
      <c r="N12" s="372">
        <f t="shared" si="13"/>
        <v>67.881745192799997</v>
      </c>
      <c r="O12" s="373">
        <f t="shared" si="14"/>
        <v>9926.1129079999992</v>
      </c>
      <c r="P12" s="378">
        <f>(O12*0.15)</f>
        <v>1488.9169361999998</v>
      </c>
      <c r="Q12" s="373">
        <f>$H$12-$N$12-P12</f>
        <v>8369.3142266071991</v>
      </c>
      <c r="R12" s="373">
        <f t="shared" si="15"/>
        <v>19852.225815999998</v>
      </c>
      <c r="S12" s="374">
        <f>(R12-10000)*0.2+(10000-O12)*0.15</f>
        <v>1981.528227</v>
      </c>
      <c r="T12" s="373">
        <f>$H$12-$N$12-S12</f>
        <v>7876.7029358071986</v>
      </c>
      <c r="U12" s="373">
        <f t="shared" si="1"/>
        <v>29778.338723999997</v>
      </c>
      <c r="V12" s="382">
        <f>(U12-25000)*0.27+(25000-R12)*0.2</f>
        <v>2319.7062922799996</v>
      </c>
      <c r="W12" s="373">
        <f t="shared" si="16"/>
        <v>7538.5248705271988</v>
      </c>
      <c r="X12" s="373">
        <f t="shared" si="2"/>
        <v>39704.451631999997</v>
      </c>
      <c r="Y12" s="382">
        <f t="shared" si="3"/>
        <v>2680.0504851599999</v>
      </c>
      <c r="Z12" s="373">
        <f>$H$12-$N$12-Y12</f>
        <v>7178.1806776471985</v>
      </c>
      <c r="AA12" s="373">
        <f t="shared" si="4"/>
        <v>49630.564539999992</v>
      </c>
      <c r="AB12" s="382">
        <f t="shared" si="17"/>
        <v>2680.0504851599999</v>
      </c>
      <c r="AC12" s="373">
        <f t="shared" si="18"/>
        <v>7178.1806776471985</v>
      </c>
      <c r="AD12" s="373">
        <f t="shared" si="5"/>
        <v>59556.677447999995</v>
      </c>
      <c r="AE12" s="382">
        <f t="shared" si="19"/>
        <v>2680.0504851599999</v>
      </c>
      <c r="AF12" s="373">
        <f t="shared" si="20"/>
        <v>7178.1806776471985</v>
      </c>
      <c r="AG12" s="373">
        <f t="shared" si="6"/>
        <v>69482.790355999998</v>
      </c>
      <c r="AH12" s="382">
        <f>H12*0.27</f>
        <v>2680.0504851599999</v>
      </c>
      <c r="AI12" s="373">
        <f t="shared" si="21"/>
        <v>7178.1806776471985</v>
      </c>
      <c r="AJ12" s="373">
        <f t="shared" si="7"/>
        <v>79408.903263999993</v>
      </c>
      <c r="AK12" s="376">
        <f>H12*0.27</f>
        <v>2680.0504851599999</v>
      </c>
      <c r="AL12" s="373">
        <f t="shared" si="22"/>
        <v>7178.1806776471985</v>
      </c>
      <c r="AM12" s="373">
        <f t="shared" si="8"/>
        <v>89335.016171999989</v>
      </c>
      <c r="AN12" s="377">
        <f>(AM12-88000)*0.35+(88000-AJ12)*0.27</f>
        <v>2786.8517789199977</v>
      </c>
      <c r="AO12" s="373">
        <f t="shared" si="23"/>
        <v>7071.3793838872007</v>
      </c>
      <c r="AP12" s="373">
        <f t="shared" si="9"/>
        <v>99261.129079999984</v>
      </c>
      <c r="AQ12" s="383">
        <f t="shared" si="24"/>
        <v>3474.1395177999993</v>
      </c>
      <c r="AR12" s="373">
        <f t="shared" si="25"/>
        <v>6384.0916450071991</v>
      </c>
      <c r="AS12" s="373">
        <f t="shared" si="10"/>
        <v>109187.24198799999</v>
      </c>
      <c r="AT12" s="383">
        <f t="shared" si="26"/>
        <v>3474.1395177999993</v>
      </c>
      <c r="AU12" s="373">
        <f>$H$12-$N$12-AT12</f>
        <v>6384.0916450071991</v>
      </c>
      <c r="AV12" s="373">
        <f t="shared" si="11"/>
        <v>119113.35489599999</v>
      </c>
      <c r="AW12" s="383">
        <f t="shared" si="31"/>
        <v>3474.1395177999993</v>
      </c>
      <c r="AX12" s="373">
        <f t="shared" si="28"/>
        <v>6384.0916450071991</v>
      </c>
      <c r="AY12" s="384"/>
      <c r="BA12" s="358"/>
    </row>
    <row r="13" spans="1:53" s="233" customFormat="1" ht="30" hidden="1" customHeight="1" x14ac:dyDescent="0.45">
      <c r="A13" s="728"/>
      <c r="B13" s="461" t="s">
        <v>235</v>
      </c>
      <c r="C13" s="231">
        <v>300</v>
      </c>
      <c r="D13" s="238">
        <v>6661</v>
      </c>
      <c r="E13" s="234">
        <v>9992.0399999999991</v>
      </c>
      <c r="F13" s="234">
        <f t="shared" si="32"/>
        <v>16653.04</v>
      </c>
      <c r="G13" s="233">
        <v>359</v>
      </c>
      <c r="H13" s="353">
        <f t="shared" si="29"/>
        <v>9275.6311040000001</v>
      </c>
      <c r="I13" s="463">
        <v>0.32</v>
      </c>
      <c r="J13" s="362">
        <v>6800</v>
      </c>
      <c r="K13" s="361">
        <f t="shared" si="12"/>
        <v>6799.7383189802667</v>
      </c>
      <c r="L13" s="390"/>
      <c r="M13" s="390">
        <f t="shared" si="0"/>
        <v>7311.5465795486734</v>
      </c>
      <c r="N13" s="372">
        <f t="shared" si="13"/>
        <v>63.588565286399998</v>
      </c>
      <c r="O13" s="373">
        <f t="shared" si="14"/>
        <v>9275.6311040000001</v>
      </c>
      <c r="P13" s="378">
        <f>(O13*0.15)</f>
        <v>1391.3446655999999</v>
      </c>
      <c r="Q13" s="373">
        <f>$H$13-$N$13-P13</f>
        <v>7820.6978731136005</v>
      </c>
      <c r="R13" s="373">
        <f t="shared" si="15"/>
        <v>18551.262208</v>
      </c>
      <c r="S13" s="374">
        <f>(R13-10000)*0.2+(10000-O13)*0.15</f>
        <v>1818.907776</v>
      </c>
      <c r="T13" s="373">
        <f>$H$13-$N$13-S13</f>
        <v>7393.1347627136001</v>
      </c>
      <c r="U13" s="373">
        <f t="shared" si="1"/>
        <v>27826.893312</v>
      </c>
      <c r="V13" s="376">
        <f>(U13-25000)*0.27+(25000-R13)*0.2</f>
        <v>2053.0087526400002</v>
      </c>
      <c r="W13" s="373">
        <f t="shared" si="16"/>
        <v>7159.0337860735999</v>
      </c>
      <c r="X13" s="373">
        <f t="shared" si="2"/>
        <v>37102.524416</v>
      </c>
      <c r="Y13" s="376">
        <f t="shared" si="3"/>
        <v>2504.4203980800003</v>
      </c>
      <c r="Z13" s="373">
        <f>$H$13-$N$13-Y13</f>
        <v>6707.6221406335999</v>
      </c>
      <c r="AA13" s="373">
        <f t="shared" si="4"/>
        <v>46378.15552</v>
      </c>
      <c r="AB13" s="376">
        <f t="shared" si="17"/>
        <v>2504.4203980800003</v>
      </c>
      <c r="AC13" s="373">
        <f t="shared" si="18"/>
        <v>6707.6221406335999</v>
      </c>
      <c r="AD13" s="373">
        <f t="shared" si="5"/>
        <v>55653.786624</v>
      </c>
      <c r="AE13" s="376">
        <f t="shared" si="19"/>
        <v>2504.4203980800003</v>
      </c>
      <c r="AF13" s="373">
        <f t="shared" si="20"/>
        <v>6707.6221406335999</v>
      </c>
      <c r="AG13" s="373">
        <f t="shared" si="6"/>
        <v>64929.417728</v>
      </c>
      <c r="AH13" s="376">
        <f>H13*0.27</f>
        <v>2504.4203980800003</v>
      </c>
      <c r="AI13" s="373">
        <f t="shared" si="21"/>
        <v>6707.6221406335999</v>
      </c>
      <c r="AJ13" s="373">
        <f t="shared" si="7"/>
        <v>74205.048832</v>
      </c>
      <c r="AK13" s="376">
        <f>H13*0.27</f>
        <v>2504.4203980800003</v>
      </c>
      <c r="AL13" s="373">
        <f t="shared" si="22"/>
        <v>6707.6221406335999</v>
      </c>
      <c r="AM13" s="373">
        <f t="shared" si="8"/>
        <v>83480.679936</v>
      </c>
      <c r="AN13" s="376">
        <f>H13*0.27</f>
        <v>2504.4203980800003</v>
      </c>
      <c r="AO13" s="373">
        <f t="shared" si="23"/>
        <v>6707.6221406335999</v>
      </c>
      <c r="AP13" s="373">
        <f t="shared" si="9"/>
        <v>92756.311040000001</v>
      </c>
      <c r="AQ13" s="377">
        <f>(AP13-88000)*0.35+(88000-AM13)*0.27</f>
        <v>2884.92528128</v>
      </c>
      <c r="AR13" s="373">
        <f t="shared" si="25"/>
        <v>6327.1172574335997</v>
      </c>
      <c r="AS13" s="373">
        <f t="shared" si="10"/>
        <v>102031.942144</v>
      </c>
      <c r="AT13" s="377">
        <f t="shared" si="26"/>
        <v>3246.4708863999999</v>
      </c>
      <c r="AU13" s="373">
        <f>$H$13-$N$13-AT13</f>
        <v>5965.5716523135998</v>
      </c>
      <c r="AV13" s="373">
        <f t="shared" si="11"/>
        <v>111307.573248</v>
      </c>
      <c r="AW13" s="377">
        <f t="shared" si="31"/>
        <v>3246.4708863999999</v>
      </c>
      <c r="AX13" s="373">
        <f t="shared" si="28"/>
        <v>5965.5716523135998</v>
      </c>
      <c r="AY13" s="371"/>
      <c r="BA13" s="358"/>
    </row>
    <row r="14" spans="1:53" s="233" customFormat="1" ht="30" hidden="1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32"/>
        <v>16653.04</v>
      </c>
      <c r="G14" s="233">
        <v>359</v>
      </c>
      <c r="H14" s="353">
        <f t="shared" si="29"/>
        <v>8346.371384</v>
      </c>
      <c r="I14" s="463">
        <v>0.22</v>
      </c>
      <c r="J14" s="362">
        <v>6200</v>
      </c>
      <c r="K14" s="361">
        <f t="shared" si="12"/>
        <v>6201.8526151322667</v>
      </c>
      <c r="L14" s="390"/>
      <c r="M14" s="390">
        <f t="shared" si="0"/>
        <v>6668.6587259486732</v>
      </c>
      <c r="N14" s="372">
        <f t="shared" si="13"/>
        <v>57.455451134400001</v>
      </c>
      <c r="O14" s="373">
        <f t="shared" si="14"/>
        <v>8346.371384</v>
      </c>
      <c r="P14" s="378">
        <f>(O14*0.15)</f>
        <v>1251.9557075999999</v>
      </c>
      <c r="Q14" s="373">
        <f>$H$14-$N$14-P14</f>
        <v>7036.9602252656005</v>
      </c>
      <c r="R14" s="373">
        <f t="shared" si="15"/>
        <v>16692.742768</v>
      </c>
      <c r="S14" s="374">
        <f>(R14-10000)*0.2+(10000-O14)*0.15</f>
        <v>1586.592846</v>
      </c>
      <c r="T14" s="373">
        <f>$H$14-$N$14-S14</f>
        <v>6702.323086865601</v>
      </c>
      <c r="U14" s="373">
        <f t="shared" si="1"/>
        <v>25039.114152000002</v>
      </c>
      <c r="V14" s="376">
        <f>(U14-25000)*0.27+(25000-R14)*0.2</f>
        <v>1672.0122674400006</v>
      </c>
      <c r="W14" s="373">
        <f t="shared" si="16"/>
        <v>6616.9036654255997</v>
      </c>
      <c r="X14" s="373">
        <f t="shared" si="2"/>
        <v>33385.485536</v>
      </c>
      <c r="Y14" s="376">
        <f t="shared" si="3"/>
        <v>2253.5202736800002</v>
      </c>
      <c r="Z14" s="373">
        <f>$H$14-$N$14-Y14</f>
        <v>6035.3956591856004</v>
      </c>
      <c r="AA14" s="373">
        <f t="shared" si="4"/>
        <v>41731.856919999998</v>
      </c>
      <c r="AB14" s="376">
        <f t="shared" si="17"/>
        <v>2253.5202736800002</v>
      </c>
      <c r="AC14" s="373">
        <f t="shared" si="18"/>
        <v>6035.3956591856004</v>
      </c>
      <c r="AD14" s="373">
        <f t="shared" si="5"/>
        <v>50078.228304000004</v>
      </c>
      <c r="AE14" s="376">
        <f t="shared" si="19"/>
        <v>2253.5202736800002</v>
      </c>
      <c r="AF14" s="373">
        <f t="shared" si="20"/>
        <v>6035.3956591856004</v>
      </c>
      <c r="AG14" s="373">
        <f t="shared" si="6"/>
        <v>58424.599688000002</v>
      </c>
      <c r="AH14" s="376">
        <f>H14*0.27</f>
        <v>2253.5202736800002</v>
      </c>
      <c r="AI14" s="373">
        <f t="shared" si="21"/>
        <v>6035.3956591856004</v>
      </c>
      <c r="AJ14" s="373">
        <f t="shared" si="7"/>
        <v>66770.971072</v>
      </c>
      <c r="AK14" s="376">
        <f>H14*0.27</f>
        <v>2253.5202736800002</v>
      </c>
      <c r="AL14" s="373">
        <f t="shared" si="22"/>
        <v>6035.3956591856004</v>
      </c>
      <c r="AM14" s="373">
        <f t="shared" si="8"/>
        <v>75117.342455999998</v>
      </c>
      <c r="AN14" s="376">
        <f>H14*0.27</f>
        <v>2253.5202736800002</v>
      </c>
      <c r="AO14" s="373">
        <f t="shared" si="23"/>
        <v>6035.3956591856004</v>
      </c>
      <c r="AP14" s="373">
        <f t="shared" si="9"/>
        <v>83463.713839999997</v>
      </c>
      <c r="AQ14" s="376">
        <f>H14*0.27</f>
        <v>2253.5202736800002</v>
      </c>
      <c r="AR14" s="373">
        <f t="shared" si="25"/>
        <v>6035.3956591856004</v>
      </c>
      <c r="AS14" s="373">
        <f t="shared" si="10"/>
        <v>91810.085223999995</v>
      </c>
      <c r="AT14" s="377">
        <f>(AS14-88000)*0.35+(88000-AP14)*0.27</f>
        <v>2558.3270915999992</v>
      </c>
      <c r="AU14" s="373">
        <f>$H$14-$N$14-AT14</f>
        <v>5730.5888412656013</v>
      </c>
      <c r="AV14" s="373">
        <f t="shared" si="11"/>
        <v>100156.45660800001</v>
      </c>
      <c r="AW14" s="377">
        <f t="shared" si="31"/>
        <v>2921.2299843999999</v>
      </c>
      <c r="AX14" s="373">
        <f t="shared" si="28"/>
        <v>5367.6859484656006</v>
      </c>
      <c r="AY14" s="371"/>
      <c r="BA14" s="358"/>
    </row>
    <row r="15" spans="1:53" s="233" customFormat="1" ht="30" hidden="1" customHeight="1" x14ac:dyDescent="0.45">
      <c r="A15" s="730" t="s">
        <v>15</v>
      </c>
      <c r="B15" s="461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32"/>
        <v>24980.1</v>
      </c>
      <c r="G15" s="233">
        <v>359</v>
      </c>
      <c r="H15" s="353">
        <f t="shared" si="29"/>
        <v>17089.100247999999</v>
      </c>
      <c r="I15" s="463">
        <v>0.67</v>
      </c>
      <c r="J15" s="362">
        <v>11900</v>
      </c>
      <c r="K15" s="361">
        <f t="shared" si="12"/>
        <v>11826.924366229863</v>
      </c>
      <c r="L15" s="390"/>
      <c r="M15" s="390">
        <f t="shared" si="0"/>
        <v>12717.122974440712</v>
      </c>
      <c r="N15" s="372">
        <f t="shared" si="13"/>
        <v>115.15746163679999</v>
      </c>
      <c r="O15" s="373">
        <f t="shared" si="14"/>
        <v>17089.100247999999</v>
      </c>
      <c r="P15" s="374">
        <f t="shared" si="33"/>
        <v>2917.8200495999999</v>
      </c>
      <c r="Q15" s="373">
        <f>$H$15-$N$15-P15</f>
        <v>14056.122736763198</v>
      </c>
      <c r="R15" s="373">
        <f t="shared" si="15"/>
        <v>34178.200495999998</v>
      </c>
      <c r="S15" s="376">
        <f>(R15-25000)*0.27+(25000-O15)*0.2</f>
        <v>4060.2940843199995</v>
      </c>
      <c r="T15" s="373">
        <f>$H$15-$N$15-S15</f>
        <v>12913.648702043198</v>
      </c>
      <c r="U15" s="373">
        <f t="shared" si="1"/>
        <v>51267.300743999993</v>
      </c>
      <c r="V15" s="376">
        <f>H15*0.27</f>
        <v>4614.0570669600002</v>
      </c>
      <c r="W15" s="373">
        <f t="shared" si="16"/>
        <v>12359.885719403197</v>
      </c>
      <c r="X15" s="373">
        <f t="shared" si="2"/>
        <v>68356.400991999995</v>
      </c>
      <c r="Y15" s="376">
        <f t="shared" si="3"/>
        <v>4614.0570669600002</v>
      </c>
      <c r="Z15" s="373">
        <f>$H$15-$N$15-Y15</f>
        <v>12359.885719403197</v>
      </c>
      <c r="AA15" s="373">
        <f t="shared" si="4"/>
        <v>85445.501239999998</v>
      </c>
      <c r="AB15" s="376">
        <f t="shared" si="17"/>
        <v>4614.0570669600002</v>
      </c>
      <c r="AC15" s="373">
        <f t="shared" si="18"/>
        <v>12359.885719403197</v>
      </c>
      <c r="AD15" s="373">
        <f t="shared" si="5"/>
        <v>102534.60148799999</v>
      </c>
      <c r="AE15" s="377">
        <f>(AD15-88000)*0.35+(88000-AA15)*0.27</f>
        <v>5776.8251859999955</v>
      </c>
      <c r="AF15" s="373">
        <f t="shared" si="20"/>
        <v>11197.117600363203</v>
      </c>
      <c r="AG15" s="373">
        <f t="shared" si="6"/>
        <v>119623.70173599999</v>
      </c>
      <c r="AH15" s="377">
        <f>H15*0.35</f>
        <v>5981.1850867999992</v>
      </c>
      <c r="AI15" s="373">
        <f t="shared" si="21"/>
        <v>10992.757699563197</v>
      </c>
      <c r="AJ15" s="373">
        <f t="shared" si="7"/>
        <v>136712.80198399999</v>
      </c>
      <c r="AK15" s="377">
        <f>H15*0.35</f>
        <v>5981.1850867999992</v>
      </c>
      <c r="AL15" s="373">
        <f t="shared" si="22"/>
        <v>10992.757699563197</v>
      </c>
      <c r="AM15" s="373">
        <f t="shared" si="8"/>
        <v>153801.90223199999</v>
      </c>
      <c r="AN15" s="377">
        <f>H15*0.35</f>
        <v>5981.1850867999992</v>
      </c>
      <c r="AO15" s="373">
        <f t="shared" si="23"/>
        <v>10992.757699563197</v>
      </c>
      <c r="AP15" s="373">
        <f t="shared" si="9"/>
        <v>170891.00248</v>
      </c>
      <c r="AQ15" s="377">
        <f>H15*0.35</f>
        <v>5981.1850867999992</v>
      </c>
      <c r="AR15" s="373">
        <f t="shared" si="25"/>
        <v>10992.757699563197</v>
      </c>
      <c r="AS15" s="373">
        <f t="shared" si="10"/>
        <v>187980.102728</v>
      </c>
      <c r="AT15" s="377">
        <f t="shared" si="26"/>
        <v>5981.1850867999992</v>
      </c>
      <c r="AU15" s="373">
        <f>$H$15-$N$15-AT15</f>
        <v>10992.757699563197</v>
      </c>
      <c r="AV15" s="373">
        <f t="shared" si="11"/>
        <v>205069.20297599997</v>
      </c>
      <c r="AW15" s="377">
        <f t="shared" si="31"/>
        <v>5981.1850867999992</v>
      </c>
      <c r="AX15" s="373">
        <f t="shared" si="28"/>
        <v>10992.757699563197</v>
      </c>
      <c r="AY15" s="371"/>
      <c r="BA15" s="358"/>
    </row>
    <row r="16" spans="1:53" s="233" customFormat="1" ht="30" hidden="1" customHeight="1" x14ac:dyDescent="0.45">
      <c r="A16" s="730"/>
      <c r="B16" s="461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32"/>
        <v>24980.1</v>
      </c>
      <c r="G16" s="233">
        <v>359</v>
      </c>
      <c r="H16" s="353">
        <f t="shared" si="29"/>
        <v>11141.838039999999</v>
      </c>
      <c r="I16" s="363">
        <v>0.35</v>
      </c>
      <c r="J16" s="362">
        <v>8000</v>
      </c>
      <c r="K16" s="361">
        <f t="shared" si="12"/>
        <v>8000.4558616026688</v>
      </c>
      <c r="L16" s="390"/>
      <c r="M16" s="390">
        <f t="shared" si="0"/>
        <v>8602.6407114007179</v>
      </c>
      <c r="N16" s="372">
        <f t="shared" si="13"/>
        <v>75.905531063999987</v>
      </c>
      <c r="O16" s="373">
        <f t="shared" si="14"/>
        <v>11141.838039999999</v>
      </c>
      <c r="P16" s="374">
        <f t="shared" si="33"/>
        <v>1728.3676079999998</v>
      </c>
      <c r="Q16" s="373">
        <f>$H$16-$N$16-P16</f>
        <v>9337.5649009359986</v>
      </c>
      <c r="R16" s="373">
        <f t="shared" si="15"/>
        <v>22283.676079999997</v>
      </c>
      <c r="S16" s="374">
        <f>H16*0.2</f>
        <v>2228.367608</v>
      </c>
      <c r="T16" s="373">
        <f>$H$16-$N$16-S16</f>
        <v>8837.5649009359986</v>
      </c>
      <c r="U16" s="373">
        <f t="shared" si="1"/>
        <v>33425.514119999993</v>
      </c>
      <c r="V16" s="376">
        <f>(U16-25000)*0.27+(25000-R16)*0.2</f>
        <v>2818.1535963999986</v>
      </c>
      <c r="W16" s="373">
        <f t="shared" si="16"/>
        <v>8247.7789125359996</v>
      </c>
      <c r="X16" s="373">
        <f t="shared" si="2"/>
        <v>44567.352159999995</v>
      </c>
      <c r="Y16" s="376">
        <f t="shared" si="3"/>
        <v>3008.2962708</v>
      </c>
      <c r="Z16" s="373">
        <f>$H$16-$N$16-Y16</f>
        <v>8057.6362381359995</v>
      </c>
      <c r="AA16" s="373">
        <f t="shared" si="4"/>
        <v>55709.190199999997</v>
      </c>
      <c r="AB16" s="376">
        <f t="shared" si="17"/>
        <v>3008.2962708</v>
      </c>
      <c r="AC16" s="373">
        <f t="shared" si="18"/>
        <v>8057.6362381359995</v>
      </c>
      <c r="AD16" s="373">
        <f t="shared" si="5"/>
        <v>66851.028239999985</v>
      </c>
      <c r="AE16" s="376">
        <f t="shared" ref="AE16:AE26" si="35">H16*0.27</f>
        <v>3008.2962708</v>
      </c>
      <c r="AF16" s="373">
        <f t="shared" si="20"/>
        <v>8057.6362381359995</v>
      </c>
      <c r="AG16" s="373">
        <f t="shared" si="6"/>
        <v>77992.866279999987</v>
      </c>
      <c r="AH16" s="376">
        <f>H16*0.27</f>
        <v>3008.2962708</v>
      </c>
      <c r="AI16" s="373">
        <f t="shared" si="21"/>
        <v>8057.6362381359995</v>
      </c>
      <c r="AJ16" s="373">
        <f t="shared" si="7"/>
        <v>89134.70431999999</v>
      </c>
      <c r="AK16" s="377">
        <f>(AJ16-88000)*0.35+(88000-AG16)*0.27</f>
        <v>3099.0726163999998</v>
      </c>
      <c r="AL16" s="373">
        <f t="shared" si="22"/>
        <v>7966.8598925359993</v>
      </c>
      <c r="AM16" s="373">
        <f t="shared" si="8"/>
        <v>100276.54235999999</v>
      </c>
      <c r="AN16" s="377">
        <f>H16*0.35</f>
        <v>3899.6433139999995</v>
      </c>
      <c r="AO16" s="373">
        <f t="shared" si="23"/>
        <v>7166.2891949360001</v>
      </c>
      <c r="AP16" s="373">
        <f t="shared" si="9"/>
        <v>111418.38039999999</v>
      </c>
      <c r="AQ16" s="377">
        <f>H16*0.35</f>
        <v>3899.6433139999995</v>
      </c>
      <c r="AR16" s="373">
        <f t="shared" si="25"/>
        <v>7166.2891949360001</v>
      </c>
      <c r="AS16" s="373">
        <f t="shared" si="10"/>
        <v>122560.21843999998</v>
      </c>
      <c r="AT16" s="377">
        <f t="shared" si="26"/>
        <v>3899.6433139999995</v>
      </c>
      <c r="AU16" s="373">
        <f>$H$16-$N$16-AT16</f>
        <v>7166.2891949360001</v>
      </c>
      <c r="AV16" s="373">
        <f t="shared" si="11"/>
        <v>133702.05647999997</v>
      </c>
      <c r="AW16" s="377">
        <f t="shared" si="31"/>
        <v>3899.6433139999995</v>
      </c>
      <c r="AX16" s="373">
        <f t="shared" si="28"/>
        <v>7166.2891949360001</v>
      </c>
      <c r="AY16" s="371"/>
      <c r="BA16" s="358"/>
    </row>
    <row r="17" spans="1:53" s="233" customFormat="1" ht="30" hidden="1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32"/>
        <v>24980.1</v>
      </c>
      <c r="G17" s="233">
        <v>359</v>
      </c>
      <c r="H17" s="353">
        <f t="shared" si="29"/>
        <v>9283.3185999999987</v>
      </c>
      <c r="I17" s="363">
        <v>0.25</v>
      </c>
      <c r="J17" s="362">
        <v>6804</v>
      </c>
      <c r="K17" s="361">
        <f t="shared" si="12"/>
        <v>6804.684453906666</v>
      </c>
      <c r="L17" s="390"/>
      <c r="M17" s="390">
        <f t="shared" si="0"/>
        <v>7316.8650042007157</v>
      </c>
      <c r="N17" s="372">
        <f t="shared" si="13"/>
        <v>63.639302759999993</v>
      </c>
      <c r="O17" s="373">
        <f t="shared" si="14"/>
        <v>9283.3185999999987</v>
      </c>
      <c r="P17" s="378">
        <f>O17*0.15</f>
        <v>1392.4977899999997</v>
      </c>
      <c r="Q17" s="373">
        <f>$H$17-$N$17-P17</f>
        <v>7827.1815072399986</v>
      </c>
      <c r="R17" s="373">
        <f t="shared" si="15"/>
        <v>18566.637199999997</v>
      </c>
      <c r="S17" s="374">
        <f>(R17-10000)*0.2+(10000-O17)*0.15</f>
        <v>1820.8296499999997</v>
      </c>
      <c r="T17" s="373">
        <f>$H$17-$N$17-S17</f>
        <v>7398.8496472399984</v>
      </c>
      <c r="U17" s="373">
        <f t="shared" si="1"/>
        <v>27849.955799999996</v>
      </c>
      <c r="V17" s="376">
        <f>(U17-25000)*0.27+(25000-R17)*0.2</f>
        <v>2056.1606259999999</v>
      </c>
      <c r="W17" s="373">
        <f t="shared" si="16"/>
        <v>7163.5186712399982</v>
      </c>
      <c r="X17" s="373">
        <f t="shared" si="2"/>
        <v>37133.274399999995</v>
      </c>
      <c r="Y17" s="376">
        <f t="shared" si="3"/>
        <v>2506.4960219999998</v>
      </c>
      <c r="Z17" s="373">
        <f>$H$17-$N$17-Y17</f>
        <v>6713.1832752399987</v>
      </c>
      <c r="AA17" s="373">
        <f t="shared" si="4"/>
        <v>46416.592999999993</v>
      </c>
      <c r="AB17" s="376">
        <f t="shared" si="17"/>
        <v>2506.4960219999998</v>
      </c>
      <c r="AC17" s="373">
        <f t="shared" si="18"/>
        <v>6713.1832752399987</v>
      </c>
      <c r="AD17" s="373">
        <f t="shared" si="5"/>
        <v>55699.911599999992</v>
      </c>
      <c r="AE17" s="376">
        <f t="shared" si="35"/>
        <v>2506.4960219999998</v>
      </c>
      <c r="AF17" s="373">
        <f t="shared" si="20"/>
        <v>6713.1832752399987</v>
      </c>
      <c r="AG17" s="373">
        <f t="shared" si="6"/>
        <v>64983.230199999991</v>
      </c>
      <c r="AH17" s="376">
        <f>H17*0.27</f>
        <v>2506.4960219999998</v>
      </c>
      <c r="AI17" s="373">
        <f t="shared" si="21"/>
        <v>6713.1832752399987</v>
      </c>
      <c r="AJ17" s="373">
        <f t="shared" si="7"/>
        <v>74266.54879999999</v>
      </c>
      <c r="AK17" s="376">
        <f>H17*0.27</f>
        <v>2506.4960219999998</v>
      </c>
      <c r="AL17" s="373">
        <f t="shared" si="22"/>
        <v>6713.1832752399987</v>
      </c>
      <c r="AM17" s="373">
        <f t="shared" si="8"/>
        <v>83549.867399999988</v>
      </c>
      <c r="AN17" s="376">
        <f>H17*0.27</f>
        <v>2506.4960219999998</v>
      </c>
      <c r="AO17" s="373">
        <f t="shared" si="23"/>
        <v>6713.1832752399987</v>
      </c>
      <c r="AP17" s="373">
        <f t="shared" si="9"/>
        <v>92833.185999999987</v>
      </c>
      <c r="AQ17" s="377">
        <f>(AP17-88000)*0.35+(88000-AM17)*0.27</f>
        <v>2893.1509019999985</v>
      </c>
      <c r="AR17" s="373">
        <f t="shared" si="25"/>
        <v>6326.5283952399996</v>
      </c>
      <c r="AS17" s="373">
        <f t="shared" si="10"/>
        <v>102116.50459999999</v>
      </c>
      <c r="AT17" s="377">
        <f t="shared" si="26"/>
        <v>3249.1615099999995</v>
      </c>
      <c r="AU17" s="373">
        <f>$H$17-$N$17-AT17</f>
        <v>5970.5177872399981</v>
      </c>
      <c r="AV17" s="373">
        <f t="shared" si="11"/>
        <v>111399.82319999998</v>
      </c>
      <c r="AW17" s="377">
        <f t="shared" si="31"/>
        <v>3249.1615099999995</v>
      </c>
      <c r="AX17" s="373">
        <f t="shared" si="28"/>
        <v>5970.5177872399981</v>
      </c>
      <c r="AY17" s="371"/>
      <c r="BA17" s="358"/>
    </row>
    <row r="18" spans="1:53" s="233" customFormat="1" ht="30" hidden="1" customHeight="1" x14ac:dyDescent="0.45">
      <c r="A18" s="730"/>
      <c r="B18" s="461" t="s">
        <v>32</v>
      </c>
      <c r="C18" s="231">
        <v>450</v>
      </c>
      <c r="D18" s="234">
        <v>4996.0199999999995</v>
      </c>
      <c r="E18" s="234">
        <v>14988.06</v>
      </c>
      <c r="F18" s="234">
        <f t="shared" si="32"/>
        <v>19984.079999999998</v>
      </c>
      <c r="G18" s="233">
        <v>359</v>
      </c>
      <c r="H18" s="353">
        <f t="shared" si="29"/>
        <v>13418.524354000001</v>
      </c>
      <c r="I18" s="463">
        <v>0.63</v>
      </c>
      <c r="J18" s="362">
        <v>9500</v>
      </c>
      <c r="K18" s="361">
        <f t="shared" si="12"/>
        <v>9465.2758360302669</v>
      </c>
      <c r="L18" s="390"/>
      <c r="M18" s="390">
        <f t="shared" si="0"/>
        <v>10177.715952720717</v>
      </c>
      <c r="N18" s="372">
        <f t="shared" si="13"/>
        <v>90.931660736400005</v>
      </c>
      <c r="O18" s="373">
        <f t="shared" si="14"/>
        <v>13418.524354000001</v>
      </c>
      <c r="P18" s="374">
        <f t="shared" si="33"/>
        <v>2183.7048708000002</v>
      </c>
      <c r="Q18" s="373">
        <f>$H$18-$N$18-P18</f>
        <v>11143.887822463601</v>
      </c>
      <c r="R18" s="373">
        <f t="shared" si="15"/>
        <v>26837.048708000002</v>
      </c>
      <c r="S18" s="376">
        <f>(R18-25000)*0.27+(25000-O18)*0.2</f>
        <v>2812.2982803600003</v>
      </c>
      <c r="T18" s="373">
        <f>$H$18-$N$18-S18</f>
        <v>10515.2944129036</v>
      </c>
      <c r="U18" s="373">
        <f t="shared" si="1"/>
        <v>40255.573062000003</v>
      </c>
      <c r="V18" s="376">
        <f>H18*0.27</f>
        <v>3623.0015755800005</v>
      </c>
      <c r="W18" s="373">
        <f t="shared" si="16"/>
        <v>9704.5911176836016</v>
      </c>
      <c r="X18" s="373">
        <f t="shared" si="2"/>
        <v>53674.097416000004</v>
      </c>
      <c r="Y18" s="376">
        <f t="shared" si="3"/>
        <v>3623.0015755800005</v>
      </c>
      <c r="Z18" s="373">
        <f>$H$18-$N$18-Y18</f>
        <v>9704.5911176836016</v>
      </c>
      <c r="AA18" s="373">
        <f t="shared" si="4"/>
        <v>67092.621769999998</v>
      </c>
      <c r="AB18" s="376">
        <f t="shared" si="17"/>
        <v>3623.0015755800005</v>
      </c>
      <c r="AC18" s="373">
        <f t="shared" si="18"/>
        <v>9704.5911176836016</v>
      </c>
      <c r="AD18" s="373">
        <f t="shared" si="5"/>
        <v>80511.146124000006</v>
      </c>
      <c r="AE18" s="376">
        <f t="shared" si="35"/>
        <v>3623.0015755800005</v>
      </c>
      <c r="AF18" s="373">
        <f t="shared" si="20"/>
        <v>9704.5911176836016</v>
      </c>
      <c r="AG18" s="373">
        <f t="shared" si="6"/>
        <v>93929.670478000015</v>
      </c>
      <c r="AH18" s="377">
        <f>(AG18-88000)*0.35+(88000-AD18)*0.27</f>
        <v>4097.3752138200034</v>
      </c>
      <c r="AI18" s="373">
        <f t="shared" si="21"/>
        <v>9230.2174794435978</v>
      </c>
      <c r="AJ18" s="373">
        <f t="shared" si="7"/>
        <v>107348.19483200001</v>
      </c>
      <c r="AK18" s="377">
        <f>H18*0.35</f>
        <v>4696.4835239000004</v>
      </c>
      <c r="AL18" s="373">
        <f t="shared" si="22"/>
        <v>8631.1091693636008</v>
      </c>
      <c r="AM18" s="373">
        <f t="shared" si="8"/>
        <v>120766.719186</v>
      </c>
      <c r="AN18" s="377">
        <f>H18*0.35</f>
        <v>4696.4835239000004</v>
      </c>
      <c r="AO18" s="373">
        <f t="shared" si="23"/>
        <v>8631.1091693636008</v>
      </c>
      <c r="AP18" s="373">
        <f t="shared" si="9"/>
        <v>134185.24354</v>
      </c>
      <c r="AQ18" s="377">
        <f>H18*0.35</f>
        <v>4696.4835239000004</v>
      </c>
      <c r="AR18" s="373">
        <f t="shared" si="25"/>
        <v>8631.1091693636008</v>
      </c>
      <c r="AS18" s="373">
        <f t="shared" si="10"/>
        <v>147603.76789400002</v>
      </c>
      <c r="AT18" s="377">
        <f t="shared" si="26"/>
        <v>4696.4835239000004</v>
      </c>
      <c r="AU18" s="373">
        <f>$H$18-$N$18-AT18</f>
        <v>8631.1091693636008</v>
      </c>
      <c r="AV18" s="373">
        <f t="shared" si="11"/>
        <v>161022.29224800001</v>
      </c>
      <c r="AW18" s="377">
        <f t="shared" si="31"/>
        <v>4696.4835239000004</v>
      </c>
      <c r="AX18" s="373">
        <f t="shared" si="28"/>
        <v>8631.1091693636008</v>
      </c>
      <c r="AY18" s="371"/>
      <c r="BA18" s="358"/>
    </row>
    <row r="19" spans="1:53" s="233" customFormat="1" ht="30" hidden="1" customHeight="1" x14ac:dyDescent="0.45">
      <c r="A19" s="730"/>
      <c r="B19" s="461" t="s">
        <v>237</v>
      </c>
      <c r="C19" s="231">
        <v>450</v>
      </c>
      <c r="D19" s="234">
        <v>4996.0199999999995</v>
      </c>
      <c r="E19" s="234">
        <v>14988.06</v>
      </c>
      <c r="F19" s="234">
        <f t="shared" si="32"/>
        <v>19984.079999999998</v>
      </c>
      <c r="G19" s="233">
        <v>359</v>
      </c>
      <c r="H19" s="353">
        <f t="shared" si="29"/>
        <v>11606.4679</v>
      </c>
      <c r="I19" s="463">
        <v>0.5</v>
      </c>
      <c r="J19" s="362">
        <v>8300</v>
      </c>
      <c r="K19" s="361">
        <f t="shared" si="12"/>
        <v>8299.3987135266634</v>
      </c>
      <c r="L19" s="390"/>
      <c r="M19" s="390">
        <f t="shared" si="0"/>
        <v>8924.084638200713</v>
      </c>
      <c r="N19" s="372">
        <f t="shared" si="13"/>
        <v>78.972088139999997</v>
      </c>
      <c r="O19" s="373">
        <f t="shared" si="14"/>
        <v>11606.4679</v>
      </c>
      <c r="P19" s="374">
        <f t="shared" si="33"/>
        <v>1821.29358</v>
      </c>
      <c r="Q19" s="373">
        <f>$H$19-$N$19-P19</f>
        <v>9706.2022318599993</v>
      </c>
      <c r="R19" s="373">
        <f t="shared" si="15"/>
        <v>23212.935799999999</v>
      </c>
      <c r="S19" s="374">
        <f>H19*0.2</f>
        <v>2321.29358</v>
      </c>
      <c r="T19" s="373">
        <f>$H$19-$N$19-S19</f>
        <v>9206.2022318599993</v>
      </c>
      <c r="U19" s="373">
        <f t="shared" si="1"/>
        <v>34819.403699999995</v>
      </c>
      <c r="V19" s="376">
        <f>(U19-25000)*0.27+(25000-R19)*0.2</f>
        <v>3008.6518389999992</v>
      </c>
      <c r="W19" s="373">
        <f t="shared" si="16"/>
        <v>8518.8439728599988</v>
      </c>
      <c r="X19" s="373">
        <f t="shared" si="2"/>
        <v>46425.871599999999</v>
      </c>
      <c r="Y19" s="376">
        <f t="shared" si="3"/>
        <v>3133.746333</v>
      </c>
      <c r="Z19" s="373">
        <f>$H$19-$N$19-Y19</f>
        <v>8393.7494788599979</v>
      </c>
      <c r="AA19" s="373">
        <f t="shared" si="4"/>
        <v>58032.339500000002</v>
      </c>
      <c r="AB19" s="376">
        <f t="shared" si="17"/>
        <v>3133.746333</v>
      </c>
      <c r="AC19" s="373">
        <f t="shared" si="18"/>
        <v>8393.7494788599979</v>
      </c>
      <c r="AD19" s="373">
        <f t="shared" si="5"/>
        <v>69638.807399999991</v>
      </c>
      <c r="AE19" s="376">
        <f t="shared" si="35"/>
        <v>3133.746333</v>
      </c>
      <c r="AF19" s="373">
        <f t="shared" si="20"/>
        <v>8393.7494788599979</v>
      </c>
      <c r="AG19" s="373">
        <f t="shared" si="6"/>
        <v>81245.275299999994</v>
      </c>
      <c r="AH19" s="376">
        <f t="shared" ref="AH19:AH26" si="36">H19*0.27</f>
        <v>3133.746333</v>
      </c>
      <c r="AI19" s="373">
        <f t="shared" si="21"/>
        <v>8393.7494788599979</v>
      </c>
      <c r="AJ19" s="373">
        <f t="shared" si="7"/>
        <v>92851.743199999997</v>
      </c>
      <c r="AK19" s="377">
        <f>(AJ19-88000)*0.35+(88000-AG19)*0.27</f>
        <v>3521.8857890000008</v>
      </c>
      <c r="AL19" s="373">
        <f t="shared" si="22"/>
        <v>8005.610022859998</v>
      </c>
      <c r="AM19" s="373">
        <f t="shared" si="8"/>
        <v>104458.2111</v>
      </c>
      <c r="AN19" s="377">
        <f>H19*0.35</f>
        <v>4062.2637649999997</v>
      </c>
      <c r="AO19" s="373">
        <f t="shared" si="23"/>
        <v>7465.2320468599992</v>
      </c>
      <c r="AP19" s="373">
        <f t="shared" si="9"/>
        <v>116064.679</v>
      </c>
      <c r="AQ19" s="377">
        <f>H19*0.35</f>
        <v>4062.2637649999997</v>
      </c>
      <c r="AR19" s="373">
        <f t="shared" si="25"/>
        <v>7465.2320468599992</v>
      </c>
      <c r="AS19" s="373">
        <f t="shared" si="10"/>
        <v>127671.14689999999</v>
      </c>
      <c r="AT19" s="377">
        <f t="shared" si="26"/>
        <v>4062.2637649999997</v>
      </c>
      <c r="AU19" s="373">
        <f>$H$19-$N$19-AT19</f>
        <v>7465.2320468599992</v>
      </c>
      <c r="AV19" s="373">
        <f t="shared" si="11"/>
        <v>139277.61479999998</v>
      </c>
      <c r="AW19" s="377">
        <f t="shared" si="31"/>
        <v>4062.2637649999997</v>
      </c>
      <c r="AX19" s="373">
        <f t="shared" si="28"/>
        <v>7465.2320468599992</v>
      </c>
      <c r="AY19" s="371"/>
      <c r="BA19" s="358"/>
    </row>
    <row r="20" spans="1:53" s="233" customFormat="1" ht="30" hidden="1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29"/>
        <v>10026.726375999999</v>
      </c>
      <c r="I20" s="463">
        <v>0.57999999999999996</v>
      </c>
      <c r="J20" s="362">
        <v>7300</v>
      </c>
      <c r="K20" s="361">
        <f t="shared" si="12"/>
        <v>7282.9930169850659</v>
      </c>
      <c r="L20" s="390"/>
      <c r="M20" s="390">
        <f t="shared" si="0"/>
        <v>7831.1752870807159</v>
      </c>
      <c r="N20" s="372">
        <f t="shared" si="13"/>
        <v>68.545794081599993</v>
      </c>
      <c r="O20" s="373">
        <f t="shared" si="14"/>
        <v>10026.726375999999</v>
      </c>
      <c r="P20" s="374">
        <f t="shared" si="33"/>
        <v>1505.3452751999998</v>
      </c>
      <c r="Q20" s="373">
        <f>$H$20-$N$20-P20</f>
        <v>8452.8353067183998</v>
      </c>
      <c r="R20" s="373">
        <f t="shared" si="15"/>
        <v>20053.452751999997</v>
      </c>
      <c r="S20" s="374">
        <f>H20*0.2</f>
        <v>2005.3452751999998</v>
      </c>
      <c r="T20" s="373">
        <f>$H$20-$N$20-S20</f>
        <v>7952.8353067183998</v>
      </c>
      <c r="U20" s="373">
        <f t="shared" si="1"/>
        <v>30080.179127999996</v>
      </c>
      <c r="V20" s="376">
        <f>(U20-25000)*0.27+(25000-R20)*0.2</f>
        <v>2360.9578141599995</v>
      </c>
      <c r="W20" s="373">
        <f t="shared" si="16"/>
        <v>7597.2227677583996</v>
      </c>
      <c r="X20" s="373">
        <f t="shared" si="2"/>
        <v>40106.905503999995</v>
      </c>
      <c r="Y20" s="376">
        <f t="shared" si="3"/>
        <v>2707.2161215199999</v>
      </c>
      <c r="Z20" s="373">
        <f>$H$20-$N$20-Y20</f>
        <v>7250.9644603983998</v>
      </c>
      <c r="AA20" s="373">
        <f t="shared" si="4"/>
        <v>50133.631879999994</v>
      </c>
      <c r="AB20" s="376">
        <f t="shared" si="17"/>
        <v>2707.2161215199999</v>
      </c>
      <c r="AC20" s="373">
        <f t="shared" si="18"/>
        <v>7250.9644603983998</v>
      </c>
      <c r="AD20" s="373">
        <f t="shared" si="5"/>
        <v>60160.358255999992</v>
      </c>
      <c r="AE20" s="376">
        <f t="shared" si="35"/>
        <v>2707.2161215199999</v>
      </c>
      <c r="AF20" s="373">
        <f t="shared" si="20"/>
        <v>7250.9644603983998</v>
      </c>
      <c r="AG20" s="373">
        <f t="shared" si="6"/>
        <v>70187.084631999984</v>
      </c>
      <c r="AH20" s="376">
        <f t="shared" si="36"/>
        <v>2707.2161215199999</v>
      </c>
      <c r="AI20" s="373">
        <f t="shared" si="21"/>
        <v>7250.9644603983998</v>
      </c>
      <c r="AJ20" s="373">
        <f t="shared" si="7"/>
        <v>80213.81100799999</v>
      </c>
      <c r="AK20" s="376">
        <f t="shared" ref="AK20:AK27" si="37">H20*0.27</f>
        <v>2707.2161215199999</v>
      </c>
      <c r="AL20" s="373">
        <f t="shared" si="22"/>
        <v>7250.9644603983998</v>
      </c>
      <c r="AM20" s="373">
        <f t="shared" si="8"/>
        <v>90240.537383999996</v>
      </c>
      <c r="AN20" s="377">
        <f>(AM20-88000)*0.35+(88000-AJ20)*0.27</f>
        <v>2886.4591122400011</v>
      </c>
      <c r="AO20" s="373">
        <f t="shared" si="23"/>
        <v>7071.7214696783976</v>
      </c>
      <c r="AP20" s="373">
        <f t="shared" si="9"/>
        <v>100267.26375999999</v>
      </c>
      <c r="AQ20" s="377">
        <f>H20*0.35</f>
        <v>3509.3542315999994</v>
      </c>
      <c r="AR20" s="373">
        <f t="shared" si="25"/>
        <v>6448.8263503183998</v>
      </c>
      <c r="AS20" s="373">
        <f t="shared" si="10"/>
        <v>110293.99013599998</v>
      </c>
      <c r="AT20" s="377">
        <f t="shared" si="26"/>
        <v>3509.3542315999994</v>
      </c>
      <c r="AU20" s="373">
        <f>$H$20-$N$20-AT20</f>
        <v>6448.8263503183998</v>
      </c>
      <c r="AV20" s="373">
        <f t="shared" si="11"/>
        <v>120320.71651199998</v>
      </c>
      <c r="AW20" s="377">
        <f t="shared" si="31"/>
        <v>3509.3542315999994</v>
      </c>
      <c r="AX20" s="373">
        <f t="shared" si="28"/>
        <v>6448.8263503183998</v>
      </c>
      <c r="AY20" s="371"/>
      <c r="BA20" s="358"/>
    </row>
    <row r="21" spans="1:53" s="233" customFormat="1" ht="30" hidden="1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29"/>
        <v>9747.9484599999996</v>
      </c>
      <c r="I21" s="363">
        <v>0.55000000000000004</v>
      </c>
      <c r="J21" s="362">
        <v>7100</v>
      </c>
      <c r="K21" s="361">
        <f t="shared" si="12"/>
        <v>7103.627305830666</v>
      </c>
      <c r="L21" s="390"/>
      <c r="M21" s="390">
        <f t="shared" si="0"/>
        <v>7638.3089310007153</v>
      </c>
      <c r="N21" s="372">
        <f t="shared" si="13"/>
        <v>66.705859836000002</v>
      </c>
      <c r="O21" s="373">
        <f t="shared" si="14"/>
        <v>9747.9484599999996</v>
      </c>
      <c r="P21" s="378">
        <f>O21*0.15</f>
        <v>1462.1922689999999</v>
      </c>
      <c r="Q21" s="373">
        <f>$H$21-$N$21-P21</f>
        <v>8219.0503311640005</v>
      </c>
      <c r="R21" s="373">
        <f t="shared" si="15"/>
        <v>19495.896919999999</v>
      </c>
      <c r="S21" s="374">
        <f>(R21-10000)*0.2+(10000-O21)*0.15</f>
        <v>1936.9871150000001</v>
      </c>
      <c r="T21" s="373">
        <f>$H$21-$N$21-S21</f>
        <v>7744.2554851639998</v>
      </c>
      <c r="U21" s="373">
        <f t="shared" si="1"/>
        <v>29243.845379999999</v>
      </c>
      <c r="V21" s="376">
        <f>(U21-25000)*0.27+(25000-R21)*0.2</f>
        <v>2246.6588686</v>
      </c>
      <c r="W21" s="373">
        <f t="shared" si="16"/>
        <v>7434.5837315640001</v>
      </c>
      <c r="X21" s="373">
        <f t="shared" si="2"/>
        <v>38991.793839999998</v>
      </c>
      <c r="Y21" s="376">
        <f t="shared" si="3"/>
        <v>2631.9460841999999</v>
      </c>
      <c r="Z21" s="373">
        <f>$H$21-$N$21-Y21</f>
        <v>7049.2965159639998</v>
      </c>
      <c r="AA21" s="373">
        <f t="shared" si="4"/>
        <v>48739.742299999998</v>
      </c>
      <c r="AB21" s="376">
        <f t="shared" si="17"/>
        <v>2631.9460841999999</v>
      </c>
      <c r="AC21" s="373">
        <f t="shared" si="18"/>
        <v>7049.2965159639998</v>
      </c>
      <c r="AD21" s="373">
        <f t="shared" si="5"/>
        <v>58487.690759999998</v>
      </c>
      <c r="AE21" s="376">
        <f t="shared" si="35"/>
        <v>2631.9460841999999</v>
      </c>
      <c r="AF21" s="373">
        <f t="shared" si="20"/>
        <v>7049.2965159639998</v>
      </c>
      <c r="AG21" s="373">
        <f t="shared" si="6"/>
        <v>68235.639219999997</v>
      </c>
      <c r="AH21" s="376">
        <f t="shared" si="36"/>
        <v>2631.9460841999999</v>
      </c>
      <c r="AI21" s="373">
        <f t="shared" si="21"/>
        <v>7049.2965159639998</v>
      </c>
      <c r="AJ21" s="373">
        <f t="shared" si="7"/>
        <v>77983.587679999997</v>
      </c>
      <c r="AK21" s="376">
        <f t="shared" si="37"/>
        <v>2631.9460841999999</v>
      </c>
      <c r="AL21" s="373">
        <f t="shared" si="22"/>
        <v>7049.2965159639998</v>
      </c>
      <c r="AM21" s="373">
        <f t="shared" si="8"/>
        <v>87731.536139999997</v>
      </c>
      <c r="AN21" s="376">
        <f t="shared" ref="AN21:AN27" si="38">H21*0.27</f>
        <v>2631.9460841999999</v>
      </c>
      <c r="AO21" s="373">
        <f t="shared" si="23"/>
        <v>7049.2965159639998</v>
      </c>
      <c r="AP21" s="373">
        <f t="shared" si="9"/>
        <v>97479.484599999996</v>
      </c>
      <c r="AQ21" s="377">
        <f>(AP21-88000)*0.35+(88000-AM21)*0.27</f>
        <v>3390.3048521999995</v>
      </c>
      <c r="AR21" s="373">
        <f t="shared" si="25"/>
        <v>6290.9377479640007</v>
      </c>
      <c r="AS21" s="373">
        <f t="shared" si="10"/>
        <v>107227.43306</v>
      </c>
      <c r="AT21" s="377">
        <f t="shared" si="26"/>
        <v>3411.7819609999997</v>
      </c>
      <c r="AU21" s="373">
        <f>$H$21-$N$21-AT21</f>
        <v>6269.460639164</v>
      </c>
      <c r="AV21" s="373">
        <f t="shared" si="11"/>
        <v>116975.38152</v>
      </c>
      <c r="AW21" s="377">
        <f t="shared" si="31"/>
        <v>3411.7819609999997</v>
      </c>
      <c r="AX21" s="373">
        <f t="shared" si="28"/>
        <v>6269.460639164</v>
      </c>
      <c r="AY21" s="371"/>
      <c r="BA21" s="358"/>
    </row>
    <row r="22" spans="1:53" s="233" customFormat="1" ht="30" hidden="1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29"/>
        <v>9376.2445719999996</v>
      </c>
      <c r="I22" s="463">
        <v>0.51</v>
      </c>
      <c r="J22" s="362">
        <v>6900</v>
      </c>
      <c r="K22" s="361">
        <f t="shared" si="12"/>
        <v>6864.4730242914638</v>
      </c>
      <c r="L22" s="390"/>
      <c r="M22" s="390">
        <f t="shared" si="0"/>
        <v>7381.1537895607134</v>
      </c>
      <c r="N22" s="372">
        <f t="shared" si="13"/>
        <v>64.252614175199994</v>
      </c>
      <c r="O22" s="373">
        <f t="shared" si="14"/>
        <v>9376.2445719999996</v>
      </c>
      <c r="P22" s="378">
        <f>O22*0.15</f>
        <v>1406.4366857999999</v>
      </c>
      <c r="Q22" s="373">
        <f>$H$22-$N$22-P22</f>
        <v>7905.5552720247997</v>
      </c>
      <c r="R22" s="373">
        <f t="shared" si="15"/>
        <v>18752.489143999999</v>
      </c>
      <c r="S22" s="374">
        <f>(R22-10000)*0.2+(10000-O22)*0.15</f>
        <v>1844.0611430000001</v>
      </c>
      <c r="T22" s="373">
        <f>$H$22-$N$22-S22</f>
        <v>7467.9308148247992</v>
      </c>
      <c r="U22" s="373">
        <f t="shared" si="1"/>
        <v>28128.733715999999</v>
      </c>
      <c r="V22" s="376">
        <f>(U22-25000)*0.27+(25000-R22)*0.2</f>
        <v>2094.2602745200002</v>
      </c>
      <c r="W22" s="373">
        <f t="shared" si="16"/>
        <v>7217.7316833047989</v>
      </c>
      <c r="X22" s="373">
        <f t="shared" si="2"/>
        <v>37504.978287999998</v>
      </c>
      <c r="Y22" s="376">
        <f t="shared" si="3"/>
        <v>2531.5860344400003</v>
      </c>
      <c r="Z22" s="373">
        <f>$H$22-$N$22-Y22</f>
        <v>6780.4059233847984</v>
      </c>
      <c r="AA22" s="373">
        <f t="shared" si="4"/>
        <v>46881.222859999994</v>
      </c>
      <c r="AB22" s="376">
        <f t="shared" si="17"/>
        <v>2531.5860344400003</v>
      </c>
      <c r="AC22" s="373">
        <f t="shared" si="18"/>
        <v>6780.4059233847984</v>
      </c>
      <c r="AD22" s="373">
        <f t="shared" si="5"/>
        <v>56257.467431999998</v>
      </c>
      <c r="AE22" s="376">
        <f t="shared" si="35"/>
        <v>2531.5860344400003</v>
      </c>
      <c r="AF22" s="373">
        <f t="shared" si="20"/>
        <v>6780.4059233847984</v>
      </c>
      <c r="AG22" s="373">
        <f t="shared" si="6"/>
        <v>65633.712004000001</v>
      </c>
      <c r="AH22" s="376">
        <f t="shared" si="36"/>
        <v>2531.5860344400003</v>
      </c>
      <c r="AI22" s="373">
        <f t="shared" si="21"/>
        <v>6780.4059233847984</v>
      </c>
      <c r="AJ22" s="373">
        <f t="shared" si="7"/>
        <v>75009.956575999997</v>
      </c>
      <c r="AK22" s="376">
        <f t="shared" si="37"/>
        <v>2531.5860344400003</v>
      </c>
      <c r="AL22" s="373">
        <f t="shared" si="22"/>
        <v>6780.4059233847984</v>
      </c>
      <c r="AM22" s="373">
        <f t="shared" si="8"/>
        <v>84386.201147999993</v>
      </c>
      <c r="AN22" s="376">
        <f t="shared" si="38"/>
        <v>2531.5860344400003</v>
      </c>
      <c r="AO22" s="373">
        <f t="shared" si="23"/>
        <v>6780.4059233847984</v>
      </c>
      <c r="AP22" s="373">
        <f t="shared" si="9"/>
        <v>93762.445719999989</v>
      </c>
      <c r="AQ22" s="377">
        <f>(AP22-88000)*0.35+(88000-AM22)*0.27</f>
        <v>2992.581692039998</v>
      </c>
      <c r="AR22" s="373">
        <f t="shared" si="25"/>
        <v>6319.4102657848016</v>
      </c>
      <c r="AS22" s="373">
        <f t="shared" si="10"/>
        <v>103138.690292</v>
      </c>
      <c r="AT22" s="377">
        <f t="shared" si="26"/>
        <v>3281.6856001999995</v>
      </c>
      <c r="AU22" s="373">
        <f>$H$22-$N$22-AT22</f>
        <v>6030.3063576247996</v>
      </c>
      <c r="AV22" s="373">
        <f t="shared" si="11"/>
        <v>112514.934864</v>
      </c>
      <c r="AW22" s="377">
        <f t="shared" si="31"/>
        <v>3281.6856001999995</v>
      </c>
      <c r="AX22" s="373">
        <f t="shared" si="28"/>
        <v>6030.3063576247996</v>
      </c>
      <c r="AY22" s="371"/>
      <c r="BA22" s="358"/>
    </row>
    <row r="23" spans="1:53" s="233" customFormat="1" ht="30" hidden="1" customHeight="1" x14ac:dyDescent="0.45">
      <c r="A23" s="730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29"/>
        <v>6309.6874959999996</v>
      </c>
      <c r="I23" s="464">
        <v>0.18</v>
      </c>
      <c r="J23" s="362">
        <v>4900</v>
      </c>
      <c r="K23" s="361">
        <f t="shared" si="12"/>
        <v>4809.5585346064008</v>
      </c>
      <c r="L23" s="390"/>
      <c r="M23" s="390">
        <f t="shared" si="0"/>
        <v>5171.5683167810757</v>
      </c>
      <c r="N23" s="372">
        <f t="shared" si="13"/>
        <v>44.013337473599996</v>
      </c>
      <c r="O23" s="373">
        <f t="shared" si="14"/>
        <v>6309.6874959999996</v>
      </c>
      <c r="P23" s="378">
        <f>O23*0.15</f>
        <v>946.45312439999987</v>
      </c>
      <c r="Q23" s="373">
        <f>$H$23-$N$23-P23</f>
        <v>5319.2210341263999</v>
      </c>
      <c r="R23" s="373">
        <f t="shared" si="15"/>
        <v>12619.374991999999</v>
      </c>
      <c r="S23" s="374">
        <f>(R23-10000)*0.2+(10000-O23)*0.15</f>
        <v>1077.4218739999999</v>
      </c>
      <c r="T23" s="373">
        <f>$H$23-$N$23-S23</f>
        <v>5188.2522845264002</v>
      </c>
      <c r="U23" s="373">
        <f t="shared" si="1"/>
        <v>18929.062488</v>
      </c>
      <c r="V23" s="374">
        <f>H23*0.2</f>
        <v>1261.9374992</v>
      </c>
      <c r="W23" s="373">
        <f t="shared" si="16"/>
        <v>5003.7366593263996</v>
      </c>
      <c r="X23" s="373">
        <f t="shared" si="2"/>
        <v>25238.749983999998</v>
      </c>
      <c r="Y23" s="376">
        <f>(X23-25000)*0.27+(25000-U23)*0.2</f>
        <v>1278.6499980799997</v>
      </c>
      <c r="Z23" s="373">
        <f>$H$23-$N$23-Y23</f>
        <v>4987.0241604463999</v>
      </c>
      <c r="AA23" s="373">
        <f t="shared" si="4"/>
        <v>31548.437479999997</v>
      </c>
      <c r="AB23" s="376">
        <f t="shared" si="17"/>
        <v>1703.61562392</v>
      </c>
      <c r="AC23" s="373">
        <f t="shared" si="18"/>
        <v>4562.0585346063999</v>
      </c>
      <c r="AD23" s="373">
        <f t="shared" si="5"/>
        <v>37858.124975999999</v>
      </c>
      <c r="AE23" s="376">
        <f t="shared" si="35"/>
        <v>1703.61562392</v>
      </c>
      <c r="AF23" s="373">
        <f t="shared" si="20"/>
        <v>4562.0585346063999</v>
      </c>
      <c r="AG23" s="373">
        <f t="shared" si="6"/>
        <v>44167.812471999998</v>
      </c>
      <c r="AH23" s="376">
        <f t="shared" si="36"/>
        <v>1703.61562392</v>
      </c>
      <c r="AI23" s="373">
        <f t="shared" si="21"/>
        <v>4562.0585346063999</v>
      </c>
      <c r="AJ23" s="373">
        <f t="shared" si="7"/>
        <v>50477.499967999996</v>
      </c>
      <c r="AK23" s="376">
        <f t="shared" si="37"/>
        <v>1703.61562392</v>
      </c>
      <c r="AL23" s="373">
        <f t="shared" si="22"/>
        <v>4562.0585346063999</v>
      </c>
      <c r="AM23" s="373">
        <f t="shared" si="8"/>
        <v>56787.187463999995</v>
      </c>
      <c r="AN23" s="376">
        <f t="shared" si="38"/>
        <v>1703.61562392</v>
      </c>
      <c r="AO23" s="373">
        <f t="shared" si="23"/>
        <v>4562.0585346063999</v>
      </c>
      <c r="AP23" s="373">
        <f t="shared" si="9"/>
        <v>63096.874959999994</v>
      </c>
      <c r="AQ23" s="376">
        <f>H23*0.27</f>
        <v>1703.61562392</v>
      </c>
      <c r="AR23" s="373">
        <f t="shared" si="25"/>
        <v>4562.0585346063999</v>
      </c>
      <c r="AS23" s="373">
        <f t="shared" si="10"/>
        <v>69406.562456</v>
      </c>
      <c r="AT23" s="376">
        <f>H23*0.27</f>
        <v>1703.61562392</v>
      </c>
      <c r="AU23" s="373">
        <f>$H$23-$N$23-AT23</f>
        <v>4562.0585346063999</v>
      </c>
      <c r="AV23" s="373">
        <f t="shared" si="11"/>
        <v>75716.249951999998</v>
      </c>
      <c r="AW23" s="376">
        <f t="shared" ref="AW23:AW27" si="39">H23*0.27</f>
        <v>1703.61562392</v>
      </c>
      <c r="AX23" s="373">
        <f t="shared" si="28"/>
        <v>4562.0585346063999</v>
      </c>
      <c r="AY23" s="371"/>
      <c r="BA23" s="358"/>
    </row>
    <row r="24" spans="1:53" s="233" customFormat="1" ht="30" hidden="1" customHeight="1" x14ac:dyDescent="0.45">
      <c r="A24" s="731" t="s">
        <v>172</v>
      </c>
      <c r="B24" s="348" t="s">
        <v>282</v>
      </c>
      <c r="C24" s="317">
        <v>125</v>
      </c>
      <c r="D24" s="238">
        <v>3330.68</v>
      </c>
      <c r="E24" s="238">
        <v>4163.3499999999995</v>
      </c>
      <c r="F24" s="238">
        <f t="shared" ref="F24:F27" si="40">D24+E24</f>
        <v>7494.0299999999988</v>
      </c>
      <c r="G24" s="233">
        <v>359</v>
      </c>
      <c r="H24" s="353">
        <f t="shared" si="29"/>
        <v>6495.1231049999997</v>
      </c>
      <c r="I24" s="463">
        <v>0.91</v>
      </c>
      <c r="J24" s="362">
        <v>5000</v>
      </c>
      <c r="K24" s="361">
        <f t="shared" si="12"/>
        <v>4943.7026541570003</v>
      </c>
      <c r="L24" s="390"/>
      <c r="M24" s="390">
        <f t="shared" si="0"/>
        <v>5315.8093055451618</v>
      </c>
      <c r="N24" s="372">
        <f t="shared" si="13"/>
        <v>45.237212492999994</v>
      </c>
      <c r="O24" s="373">
        <f t="shared" si="14"/>
        <v>6495.1231049999997</v>
      </c>
      <c r="P24" s="378">
        <f t="shared" ref="P24:P28" si="41">O24*0.15</f>
        <v>974.2684657499999</v>
      </c>
      <c r="Q24" s="373">
        <f>$H$24-$N$24-P24</f>
        <v>5475.6174267570004</v>
      </c>
      <c r="R24" s="373">
        <f t="shared" si="15"/>
        <v>12990.246209999999</v>
      </c>
      <c r="S24" s="374">
        <f>(R24-10000)*0.2+(10000-O24)*0.15</f>
        <v>1123.7807762499999</v>
      </c>
      <c r="T24" s="373">
        <f>$H$24-$N$24-S24</f>
        <v>5326.1051162570002</v>
      </c>
      <c r="U24" s="373">
        <f t="shared" si="1"/>
        <v>19485.369315</v>
      </c>
      <c r="V24" s="374">
        <f>H24*0.2</f>
        <v>1299.024621</v>
      </c>
      <c r="W24" s="373">
        <f t="shared" si="16"/>
        <v>5150.8612715069994</v>
      </c>
      <c r="X24" s="373">
        <f t="shared" si="2"/>
        <v>25980.492419999999</v>
      </c>
      <c r="Y24" s="376">
        <f>(X24-25000)*0.27+(25000-U24)*0.2</f>
        <v>1367.6590903999997</v>
      </c>
      <c r="Z24" s="373">
        <f>$H$24-$N$24-Y24</f>
        <v>5082.2268021070004</v>
      </c>
      <c r="AA24" s="373">
        <f t="shared" si="4"/>
        <v>32475.615524999997</v>
      </c>
      <c r="AB24" s="376">
        <f t="shared" si="17"/>
        <v>1753.68323835</v>
      </c>
      <c r="AC24" s="373">
        <f t="shared" si="18"/>
        <v>4696.2026541569994</v>
      </c>
      <c r="AD24" s="373">
        <f t="shared" si="5"/>
        <v>38970.73863</v>
      </c>
      <c r="AE24" s="376">
        <f t="shared" si="35"/>
        <v>1753.68323835</v>
      </c>
      <c r="AF24" s="373">
        <f t="shared" si="20"/>
        <v>4696.2026541569994</v>
      </c>
      <c r="AG24" s="373">
        <f t="shared" si="6"/>
        <v>45465.861734999999</v>
      </c>
      <c r="AH24" s="376">
        <f t="shared" si="36"/>
        <v>1753.68323835</v>
      </c>
      <c r="AI24" s="373">
        <f t="shared" si="21"/>
        <v>4696.2026541569994</v>
      </c>
      <c r="AJ24" s="373">
        <f t="shared" si="7"/>
        <v>51960.984839999997</v>
      </c>
      <c r="AK24" s="376">
        <f t="shared" si="37"/>
        <v>1753.68323835</v>
      </c>
      <c r="AL24" s="373">
        <f t="shared" si="22"/>
        <v>4696.2026541569994</v>
      </c>
      <c r="AM24" s="373">
        <f t="shared" si="8"/>
        <v>58456.107944999996</v>
      </c>
      <c r="AN24" s="376">
        <f t="shared" si="38"/>
        <v>1753.68323835</v>
      </c>
      <c r="AO24" s="373">
        <f t="shared" si="23"/>
        <v>4696.2026541569994</v>
      </c>
      <c r="AP24" s="373">
        <f t="shared" si="9"/>
        <v>64951.231049999995</v>
      </c>
      <c r="AQ24" s="376">
        <f>H24*0.27</f>
        <v>1753.68323835</v>
      </c>
      <c r="AR24" s="373">
        <f t="shared" si="25"/>
        <v>4696.2026541569994</v>
      </c>
      <c r="AS24" s="373">
        <f t="shared" si="10"/>
        <v>71446.354154999994</v>
      </c>
      <c r="AT24" s="376">
        <f>H24*0.27</f>
        <v>1753.68323835</v>
      </c>
      <c r="AU24" s="373">
        <f>$H$24-$N$24-AT24</f>
        <v>4696.2026541569994</v>
      </c>
      <c r="AV24" s="373">
        <f t="shared" si="11"/>
        <v>77941.47726</v>
      </c>
      <c r="AW24" s="376">
        <f t="shared" si="39"/>
        <v>1753.68323835</v>
      </c>
      <c r="AX24" s="373">
        <f t="shared" si="28"/>
        <v>4696.2026541569994</v>
      </c>
      <c r="AY24" s="371"/>
      <c r="BA24" s="358"/>
    </row>
    <row r="25" spans="1:53" s="233" customFormat="1" ht="30" hidden="1" customHeight="1" x14ac:dyDescent="0.45">
      <c r="A25" s="732"/>
      <c r="B25" s="348" t="s">
        <v>281</v>
      </c>
      <c r="C25" s="317">
        <v>125</v>
      </c>
      <c r="D25" s="238">
        <v>3330.68</v>
      </c>
      <c r="E25" s="238">
        <v>4163.3499999999995</v>
      </c>
      <c r="F25" s="238">
        <f t="shared" si="40"/>
        <v>7494.0299999999988</v>
      </c>
      <c r="G25" s="233">
        <v>359</v>
      </c>
      <c r="H25" s="353">
        <f t="shared" si="29"/>
        <v>5798.1783149999992</v>
      </c>
      <c r="I25" s="363">
        <v>0.73</v>
      </c>
      <c r="J25" s="362">
        <v>4500</v>
      </c>
      <c r="K25" s="361">
        <f>((Q25+T25+W25+Z25+AC25+AF25+AI25+AL25+AO25+AR25+AU25+AX25)/12)+60</f>
        <v>4497.2282059364989</v>
      </c>
      <c r="L25" s="390"/>
      <c r="M25" s="390">
        <f t="shared" si="0"/>
        <v>4835.72925369516</v>
      </c>
      <c r="N25" s="372">
        <f t="shared" si="13"/>
        <v>40.637376878999994</v>
      </c>
      <c r="O25" s="373">
        <f t="shared" si="14"/>
        <v>5798.1783149999992</v>
      </c>
      <c r="P25" s="378">
        <f t="shared" si="41"/>
        <v>869.7267472499999</v>
      </c>
      <c r="Q25" s="373">
        <f>$H$24-$N$24-P25</f>
        <v>5580.1591452570001</v>
      </c>
      <c r="R25" s="373">
        <f t="shared" si="15"/>
        <v>11596.356629999998</v>
      </c>
      <c r="S25" s="374">
        <f>(R25-10000)*0.2+(10000-O25)*0.15</f>
        <v>949.5445787499998</v>
      </c>
      <c r="T25" s="373">
        <f>H25-N25-S25</f>
        <v>4807.9963593709999</v>
      </c>
      <c r="U25" s="373">
        <f t="shared" si="1"/>
        <v>17394.534944999999</v>
      </c>
      <c r="V25" s="374">
        <f>H25*0.2</f>
        <v>1159.6356629999998</v>
      </c>
      <c r="W25" s="373">
        <f t="shared" si="16"/>
        <v>4597.9052751209992</v>
      </c>
      <c r="X25" s="373">
        <f t="shared" si="2"/>
        <v>23192.713259999997</v>
      </c>
      <c r="Y25" s="374">
        <f>H25*0.2</f>
        <v>1159.6356629999998</v>
      </c>
      <c r="Z25" s="373">
        <f>H25-N25-Y25</f>
        <v>4597.9052751209992</v>
      </c>
      <c r="AA25" s="373">
        <f t="shared" si="4"/>
        <v>28990.891574999994</v>
      </c>
      <c r="AB25" s="376">
        <f>(AA25-25000)*0.27+(25000-X25)*0.2</f>
        <v>1438.9980732499992</v>
      </c>
      <c r="AC25" s="373">
        <f t="shared" si="18"/>
        <v>4318.5428648710003</v>
      </c>
      <c r="AD25" s="373">
        <f t="shared" si="5"/>
        <v>34789.069889999999</v>
      </c>
      <c r="AE25" s="376">
        <f t="shared" si="35"/>
        <v>1565.5081450499999</v>
      </c>
      <c r="AF25" s="373">
        <f t="shared" si="20"/>
        <v>4192.0327930709991</v>
      </c>
      <c r="AG25" s="373">
        <f t="shared" si="6"/>
        <v>40587.248204999996</v>
      </c>
      <c r="AH25" s="376">
        <f t="shared" si="36"/>
        <v>1565.5081450499999</v>
      </c>
      <c r="AI25" s="373">
        <f t="shared" si="21"/>
        <v>4192.0327930709991</v>
      </c>
      <c r="AJ25" s="373">
        <f t="shared" si="7"/>
        <v>46385.426519999994</v>
      </c>
      <c r="AK25" s="376">
        <f t="shared" si="37"/>
        <v>1565.5081450499999</v>
      </c>
      <c r="AL25" s="373">
        <f t="shared" si="22"/>
        <v>4192.0327930709991</v>
      </c>
      <c r="AM25" s="373">
        <f t="shared" si="8"/>
        <v>52183.604834999991</v>
      </c>
      <c r="AN25" s="376">
        <f t="shared" si="38"/>
        <v>1565.5081450499999</v>
      </c>
      <c r="AO25" s="373">
        <f t="shared" si="23"/>
        <v>4192.0327930709991</v>
      </c>
      <c r="AP25" s="373">
        <f t="shared" si="9"/>
        <v>57981.783149999988</v>
      </c>
      <c r="AQ25" s="376">
        <f>H25*0.27</f>
        <v>1565.5081450499999</v>
      </c>
      <c r="AR25" s="373">
        <f t="shared" si="25"/>
        <v>4192.0327930709991</v>
      </c>
      <c r="AS25" s="373">
        <f t="shared" si="10"/>
        <v>63779.961464999993</v>
      </c>
      <c r="AT25" s="376">
        <f>H25*0.27</f>
        <v>1565.5081450499999</v>
      </c>
      <c r="AU25" s="373">
        <f>H25-N25-AT25</f>
        <v>4192.0327930709991</v>
      </c>
      <c r="AV25" s="373">
        <f t="shared" si="11"/>
        <v>69578.139779999998</v>
      </c>
      <c r="AW25" s="376">
        <f t="shared" si="39"/>
        <v>1565.5081450499999</v>
      </c>
      <c r="AX25" s="373">
        <f t="shared" si="28"/>
        <v>4192.0327930709991</v>
      </c>
      <c r="AY25" s="371"/>
      <c r="BA25" s="358"/>
    </row>
    <row r="26" spans="1:53" s="233" customFormat="1" ht="30" hidden="1" customHeight="1" x14ac:dyDescent="0.45">
      <c r="A26" s="732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40"/>
        <v>7494.0299999999988</v>
      </c>
      <c r="G26" s="233">
        <v>278</v>
      </c>
      <c r="H26" s="353">
        <f>D26+E26*$H$5*$I26-G26</f>
        <v>5066.0760599999994</v>
      </c>
      <c r="I26" s="391">
        <v>0.52</v>
      </c>
      <c r="J26" s="362">
        <v>4000</v>
      </c>
      <c r="K26" s="361">
        <f t="shared" si="12"/>
        <v>3910.4646218039993</v>
      </c>
      <c r="L26" s="390"/>
      <c r="M26" s="390">
        <f t="shared" si="0"/>
        <v>4204.8006686064509</v>
      </c>
      <c r="N26" s="372">
        <f t="shared" si="13"/>
        <v>35.270901995999999</v>
      </c>
      <c r="O26" s="373">
        <f t="shared" si="14"/>
        <v>5066.0760599999994</v>
      </c>
      <c r="P26" s="378">
        <f t="shared" si="41"/>
        <v>759.91140899999994</v>
      </c>
      <c r="Q26" s="373">
        <f>H26-N26-P26</f>
        <v>4270.8937490039989</v>
      </c>
      <c r="R26" s="373">
        <f t="shared" si="15"/>
        <v>10132.152119999999</v>
      </c>
      <c r="S26" s="374">
        <f t="shared" ref="S26" si="42">(R26-10000)*0.2+(10000-O26)*0.15</f>
        <v>766.51901499999985</v>
      </c>
      <c r="T26" s="373">
        <f>H26-N26-S26</f>
        <v>4264.2861430039993</v>
      </c>
      <c r="U26" s="373">
        <f t="shared" si="1"/>
        <v>15198.228179999998</v>
      </c>
      <c r="V26" s="374">
        <f>H26*0.2</f>
        <v>1013.215212</v>
      </c>
      <c r="W26" s="373">
        <f t="shared" si="16"/>
        <v>4017.5899460039991</v>
      </c>
      <c r="X26" s="373">
        <f t="shared" si="2"/>
        <v>20264.304239999998</v>
      </c>
      <c r="Y26" s="374">
        <f>H26*0.2</f>
        <v>1013.215212</v>
      </c>
      <c r="Z26" s="373">
        <f>H26-N26-Y26</f>
        <v>4017.5899460039991</v>
      </c>
      <c r="AA26" s="373">
        <f t="shared" si="4"/>
        <v>25330.380299999997</v>
      </c>
      <c r="AB26" s="376">
        <f>(AA26-25000)*0.27+(25000-X26)*0.2</f>
        <v>1036.3418329999997</v>
      </c>
      <c r="AC26" s="373">
        <f t="shared" si="18"/>
        <v>3994.4633250039997</v>
      </c>
      <c r="AD26" s="373">
        <f t="shared" si="5"/>
        <v>30396.456359999996</v>
      </c>
      <c r="AE26" s="376">
        <f t="shared" si="35"/>
        <v>1367.8405361999999</v>
      </c>
      <c r="AF26" s="373">
        <f t="shared" si="20"/>
        <v>3662.9646218039993</v>
      </c>
      <c r="AG26" s="373">
        <f t="shared" si="6"/>
        <v>35462.532419999996</v>
      </c>
      <c r="AH26" s="376">
        <f t="shared" si="36"/>
        <v>1367.8405361999999</v>
      </c>
      <c r="AI26" s="373">
        <f t="shared" si="21"/>
        <v>3662.9646218039993</v>
      </c>
      <c r="AJ26" s="373">
        <f t="shared" si="7"/>
        <v>40528.608479999995</v>
      </c>
      <c r="AK26" s="376">
        <f t="shared" si="37"/>
        <v>1367.8405361999999</v>
      </c>
      <c r="AL26" s="373">
        <f t="shared" si="22"/>
        <v>3662.9646218039993</v>
      </c>
      <c r="AM26" s="373">
        <f t="shared" si="8"/>
        <v>45594.684539999995</v>
      </c>
      <c r="AN26" s="376">
        <f t="shared" si="38"/>
        <v>1367.8405361999999</v>
      </c>
      <c r="AO26" s="373">
        <f t="shared" si="23"/>
        <v>3662.9646218039993</v>
      </c>
      <c r="AP26" s="373">
        <f t="shared" si="9"/>
        <v>50660.760599999994</v>
      </c>
      <c r="AQ26" s="376">
        <f>H26*0.27</f>
        <v>1367.8405361999999</v>
      </c>
      <c r="AR26" s="373">
        <f t="shared" si="25"/>
        <v>3662.9646218039993</v>
      </c>
      <c r="AS26" s="373">
        <f t="shared" si="10"/>
        <v>55726.836659999994</v>
      </c>
      <c r="AT26" s="376">
        <f>H26*0.27</f>
        <v>1367.8405361999999</v>
      </c>
      <c r="AU26" s="373">
        <f>H26-N26-AT26</f>
        <v>3662.9646218039993</v>
      </c>
      <c r="AV26" s="373">
        <f t="shared" si="11"/>
        <v>60792.912719999993</v>
      </c>
      <c r="AW26" s="376">
        <f t="shared" si="39"/>
        <v>1367.8405361999999</v>
      </c>
      <c r="AX26" s="373">
        <f t="shared" si="28"/>
        <v>3662.9646218039993</v>
      </c>
      <c r="AY26" s="371"/>
      <c r="BA26" s="358"/>
    </row>
    <row r="27" spans="1:53" s="233" customFormat="1" ht="30" hidden="1" customHeight="1" x14ac:dyDescent="0.45">
      <c r="A27" s="733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40"/>
        <v>7494.0299999999988</v>
      </c>
      <c r="G27" s="233">
        <v>278</v>
      </c>
      <c r="H27" s="353">
        <f t="shared" si="29"/>
        <v>3749.6247899999998</v>
      </c>
      <c r="I27" s="391">
        <v>0.18</v>
      </c>
      <c r="J27" s="362">
        <v>3000</v>
      </c>
      <c r="K27" s="361">
        <f t="shared" si="12"/>
        <v>2958.1437730859993</v>
      </c>
      <c r="L27" s="390"/>
      <c r="M27" s="390">
        <f t="shared" si="0"/>
        <v>3180.7997560064509</v>
      </c>
      <c r="N27" s="372">
        <f t="shared" si="13"/>
        <v>26.582323614</v>
      </c>
      <c r="O27" s="373">
        <f t="shared" si="14"/>
        <v>3749.6247899999998</v>
      </c>
      <c r="P27" s="378">
        <f t="shared" si="41"/>
        <v>562.44371849999993</v>
      </c>
      <c r="Q27" s="373">
        <f>H27-N27-P27</f>
        <v>3160.5987478859997</v>
      </c>
      <c r="R27" s="373">
        <f t="shared" si="15"/>
        <v>7499.2495799999997</v>
      </c>
      <c r="S27" s="378">
        <f>H27*0.15</f>
        <v>562.44371849999993</v>
      </c>
      <c r="T27" s="373">
        <f>H27-N27-S27</f>
        <v>3160.5987478859997</v>
      </c>
      <c r="U27" s="373">
        <f t="shared" si="1"/>
        <v>11248.87437</v>
      </c>
      <c r="V27" s="374">
        <f>(U27-10000)*0.2+(10000-R27)*0.15</f>
        <v>624.88743699999998</v>
      </c>
      <c r="W27" s="373">
        <f t="shared" si="16"/>
        <v>3098.155029386</v>
      </c>
      <c r="X27" s="373">
        <f t="shared" si="2"/>
        <v>14998.499159999999</v>
      </c>
      <c r="Y27" s="374">
        <f>H27*0.2</f>
        <v>749.92495800000006</v>
      </c>
      <c r="Z27" s="373">
        <f>H27-N27-Y27</f>
        <v>2973.1175083859998</v>
      </c>
      <c r="AA27" s="373">
        <f t="shared" si="4"/>
        <v>18748.123950000001</v>
      </c>
      <c r="AB27" s="374">
        <f>H27*0.2</f>
        <v>749.92495800000006</v>
      </c>
      <c r="AC27" s="373">
        <f t="shared" si="18"/>
        <v>2973.1175083859998</v>
      </c>
      <c r="AD27" s="373">
        <f t="shared" si="5"/>
        <v>22497.748739999999</v>
      </c>
      <c r="AE27" s="374">
        <f>H27*0.2</f>
        <v>749.92495800000006</v>
      </c>
      <c r="AF27" s="373">
        <f t="shared" si="20"/>
        <v>2973.1175083859998</v>
      </c>
      <c r="AG27" s="373">
        <f t="shared" si="6"/>
        <v>26247.373529999997</v>
      </c>
      <c r="AH27" s="376">
        <f>(AG27-25000)*0.27+(25000-AD27)*0.2</f>
        <v>837.24110509999946</v>
      </c>
      <c r="AI27" s="373">
        <f t="shared" si="21"/>
        <v>2885.8013612860004</v>
      </c>
      <c r="AJ27" s="373">
        <f t="shared" si="7"/>
        <v>29996.998319999999</v>
      </c>
      <c r="AK27" s="376">
        <f t="shared" si="37"/>
        <v>1012.3986933</v>
      </c>
      <c r="AL27" s="373">
        <f t="shared" si="22"/>
        <v>2710.6437730859998</v>
      </c>
      <c r="AM27" s="373">
        <f t="shared" si="8"/>
        <v>33746.62311</v>
      </c>
      <c r="AN27" s="376">
        <f t="shared" si="38"/>
        <v>1012.3986933</v>
      </c>
      <c r="AO27" s="373">
        <f t="shared" si="23"/>
        <v>2710.6437730859998</v>
      </c>
      <c r="AP27" s="373">
        <f t="shared" si="9"/>
        <v>37496.247900000002</v>
      </c>
      <c r="AQ27" s="376">
        <f>H27*0.27</f>
        <v>1012.3986933</v>
      </c>
      <c r="AR27" s="373">
        <f t="shared" si="25"/>
        <v>2710.6437730859998</v>
      </c>
      <c r="AS27" s="373">
        <f t="shared" si="10"/>
        <v>41245.872689999997</v>
      </c>
      <c r="AT27" s="376">
        <f>H27*0.27</f>
        <v>1012.3986933</v>
      </c>
      <c r="AU27" s="373">
        <f>H27-N27-AT27</f>
        <v>2710.6437730859998</v>
      </c>
      <c r="AV27" s="373">
        <f t="shared" si="11"/>
        <v>44995.497479999998</v>
      </c>
      <c r="AW27" s="376">
        <f t="shared" si="39"/>
        <v>1012.3986933</v>
      </c>
      <c r="AX27" s="373">
        <f t="shared" si="28"/>
        <v>2710.6437730859998</v>
      </c>
      <c r="AY27" s="371"/>
      <c r="BA27" s="358"/>
    </row>
    <row r="28" spans="1:53" s="233" customFormat="1" ht="28.5" hidden="1" x14ac:dyDescent="0.45">
      <c r="A28" s="754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29"/>
        <v>2223.6737480000002</v>
      </c>
      <c r="I28" s="391">
        <v>0.54</v>
      </c>
      <c r="J28" s="362">
        <v>1795</v>
      </c>
      <c r="K28" s="361">
        <f t="shared" si="12"/>
        <v>1854.2707893032</v>
      </c>
      <c r="L28" s="390"/>
      <c r="M28" s="390">
        <f t="shared" si="0"/>
        <v>1993.8395583905376</v>
      </c>
      <c r="N28" s="372">
        <f t="shared" si="13"/>
        <v>16.511046736800001</v>
      </c>
      <c r="O28" s="373">
        <f t="shared" si="14"/>
        <v>2223.6737480000002</v>
      </c>
      <c r="P28" s="378">
        <f t="shared" si="41"/>
        <v>333.55106219999999</v>
      </c>
      <c r="Q28" s="373">
        <f>H28-N28-P28</f>
        <v>1873.6116390632003</v>
      </c>
      <c r="R28" s="373">
        <f t="shared" si="15"/>
        <v>4447.3474960000003</v>
      </c>
      <c r="S28" s="378">
        <f>H28*0.15</f>
        <v>333.55106219999999</v>
      </c>
      <c r="T28" s="373">
        <f>H28-N28-S28</f>
        <v>1873.6116390632003</v>
      </c>
      <c r="U28" s="373">
        <f t="shared" si="1"/>
        <v>6671.0212440000005</v>
      </c>
      <c r="V28" s="378">
        <f>H28*0.15</f>
        <v>333.55106219999999</v>
      </c>
      <c r="W28" s="373">
        <f t="shared" si="16"/>
        <v>1873.6116390632003</v>
      </c>
      <c r="X28" s="373">
        <f t="shared" si="2"/>
        <v>8894.6949920000006</v>
      </c>
      <c r="Y28" s="378">
        <f>H28*0.15</f>
        <v>333.55106219999999</v>
      </c>
      <c r="Z28" s="373">
        <f>H28-N28-Y28</f>
        <v>1873.6116390632003</v>
      </c>
      <c r="AA28" s="373">
        <f t="shared" si="4"/>
        <v>11118.368740000002</v>
      </c>
      <c r="AB28" s="374">
        <f>(AA28-10000)*0.2+(10000-X28)*0.15</f>
        <v>389.46949920000026</v>
      </c>
      <c r="AC28" s="373">
        <f t="shared" si="18"/>
        <v>1817.6932020632</v>
      </c>
      <c r="AD28" s="373">
        <f t="shared" si="5"/>
        <v>13342.042488000001</v>
      </c>
      <c r="AE28" s="374">
        <f>H28*0.2</f>
        <v>444.73474960000004</v>
      </c>
      <c r="AF28" s="373">
        <f t="shared" si="20"/>
        <v>1762.4279516632002</v>
      </c>
      <c r="AG28" s="373">
        <f t="shared" si="6"/>
        <v>15565.716236</v>
      </c>
      <c r="AH28" s="374">
        <f>H28*0.2</f>
        <v>444.73474960000004</v>
      </c>
      <c r="AI28" s="373">
        <f t="shared" si="21"/>
        <v>1762.4279516632002</v>
      </c>
      <c r="AJ28" s="373">
        <f t="shared" si="7"/>
        <v>17789.389984000001</v>
      </c>
      <c r="AK28" s="374">
        <f>H28*0.2</f>
        <v>444.73474960000004</v>
      </c>
      <c r="AL28" s="373">
        <f t="shared" si="22"/>
        <v>1762.4279516632002</v>
      </c>
      <c r="AM28" s="373">
        <f t="shared" si="8"/>
        <v>20013.063732000002</v>
      </c>
      <c r="AN28" s="374">
        <f>H28*0.2</f>
        <v>444.73474960000004</v>
      </c>
      <c r="AO28" s="373">
        <f t="shared" si="23"/>
        <v>1762.4279516632002</v>
      </c>
      <c r="AP28" s="373">
        <f t="shared" si="9"/>
        <v>22236.737480000003</v>
      </c>
      <c r="AQ28" s="374">
        <f>H28*0.2</f>
        <v>444.73474960000004</v>
      </c>
      <c r="AR28" s="373">
        <f t="shared" si="25"/>
        <v>1762.4279516632002</v>
      </c>
      <c r="AS28" s="373">
        <f t="shared" si="10"/>
        <v>24460.411228000001</v>
      </c>
      <c r="AT28" s="374">
        <f>H28*0.2</f>
        <v>444.73474960000004</v>
      </c>
      <c r="AU28" s="373">
        <f>H28-N28-AT28</f>
        <v>1762.4279516632002</v>
      </c>
      <c r="AV28" s="373">
        <f t="shared" si="11"/>
        <v>26684.084976000002</v>
      </c>
      <c r="AW28" s="376">
        <f>(AV28-25000)*0.27+(25000-AS28)*0.2</f>
        <v>562.62069792000034</v>
      </c>
      <c r="AX28" s="373">
        <f t="shared" si="28"/>
        <v>1644.5420033431999</v>
      </c>
      <c r="AY28" s="371"/>
      <c r="BA28" s="358"/>
    </row>
    <row r="29" spans="1:53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1</v>
      </c>
      <c r="I29" s="363"/>
      <c r="J29" s="233"/>
      <c r="K29" s="361"/>
      <c r="L29" s="390"/>
      <c r="M29" s="390"/>
      <c r="N29" s="372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5"/>
      <c r="BA29" s="358"/>
    </row>
    <row r="30" spans="1:53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43">D30+E30</f>
        <v>24980.1</v>
      </c>
      <c r="G30" s="233">
        <v>359</v>
      </c>
      <c r="H30" s="353">
        <f>D30+E30*$H$29*$I30-G30</f>
        <v>18625.875999999997</v>
      </c>
      <c r="I30" s="363">
        <v>0.7</v>
      </c>
      <c r="J30" s="362">
        <v>11900</v>
      </c>
      <c r="K30" s="361">
        <f t="shared" si="12"/>
        <v>12815.685885066669</v>
      </c>
      <c r="L30" s="390">
        <v>11550.482589181869</v>
      </c>
      <c r="M30" s="390">
        <f>K30-L30</f>
        <v>1265.2032958847994</v>
      </c>
      <c r="N30" s="372">
        <f t="shared" si="13"/>
        <v>125.30018159999997</v>
      </c>
      <c r="O30" s="373">
        <f t="shared" ref="O30:O54" si="44">$H30*O$4</f>
        <v>18625.875999999997</v>
      </c>
      <c r="P30" s="374">
        <f t="shared" ref="P30:P44" si="45">(O30-10000)*0.2+10000*0.15</f>
        <v>3225.1751999999997</v>
      </c>
      <c r="Q30" s="373">
        <f t="shared" ref="Q30:Q54" si="46">H30-N30-P30</f>
        <v>15275.400618399997</v>
      </c>
      <c r="R30" s="373">
        <f t="shared" ref="R30:R54" si="47">$H30*2</f>
        <v>37251.751999999993</v>
      </c>
      <c r="S30" s="376">
        <f>(R30-25000)*0.27+(25000-O30)*0.2</f>
        <v>4582.7978399999993</v>
      </c>
      <c r="T30" s="373">
        <f t="shared" ref="T30:T54" si="48">H30-N30-S30</f>
        <v>13917.777978399998</v>
      </c>
      <c r="U30" s="373">
        <f t="shared" ref="U30:U54" si="49">H30*3</f>
        <v>55877.62799999999</v>
      </c>
      <c r="V30" s="376">
        <f t="shared" ref="V30:V34" si="50">O30*0.27</f>
        <v>5028.9865199999995</v>
      </c>
      <c r="W30" s="373">
        <f t="shared" ref="W30:W54" si="51">H30-N30-V30</f>
        <v>13471.589298399998</v>
      </c>
      <c r="X30" s="373">
        <f t="shared" ref="X30:X54" si="52">H30*4</f>
        <v>74503.503999999986</v>
      </c>
      <c r="Y30" s="376">
        <f t="shared" ref="Y30:Y51" si="53">H30*0.27</f>
        <v>5028.9865199999995</v>
      </c>
      <c r="Z30" s="373">
        <f t="shared" ref="Z30:Z54" si="54">H30-N30-Y30</f>
        <v>13471.589298399998</v>
      </c>
      <c r="AA30" s="373">
        <f t="shared" ref="AA30:AA54" si="55">H30*5</f>
        <v>93129.379999999976</v>
      </c>
      <c r="AB30" s="377">
        <f>(AA30-88000)*0.35+(88000-X30)*0.27</f>
        <v>5439.3369199999952</v>
      </c>
      <c r="AC30" s="373">
        <f>H30-N30-AB30</f>
        <v>13061.238898400003</v>
      </c>
      <c r="AD30" s="373">
        <f t="shared" ref="AD30:AD54" si="56">H30*6</f>
        <v>111755.25599999998</v>
      </c>
      <c r="AE30" s="377">
        <f>H30*0.35</f>
        <v>6519.0565999999981</v>
      </c>
      <c r="AF30" s="373">
        <f>H30-N30-AE30</f>
        <v>11981.519218399999</v>
      </c>
      <c r="AG30" s="373">
        <f t="shared" ref="AG30:AG54" si="57">H30*7</f>
        <v>130381.13199999998</v>
      </c>
      <c r="AH30" s="377">
        <f>H30*0.35</f>
        <v>6519.0565999999981</v>
      </c>
      <c r="AI30" s="373">
        <f t="shared" ref="AI30:AI54" si="58">H30-N30-AH30</f>
        <v>11981.519218399999</v>
      </c>
      <c r="AJ30" s="373">
        <f t="shared" ref="AJ30:AJ54" si="59">H30*8</f>
        <v>149007.00799999997</v>
      </c>
      <c r="AK30" s="377">
        <f>H30*0.35</f>
        <v>6519.0565999999981</v>
      </c>
      <c r="AL30" s="373">
        <f t="shared" ref="AL30:AL54" si="60">H30-N30-AK30</f>
        <v>11981.519218399999</v>
      </c>
      <c r="AM30" s="373">
        <f t="shared" ref="AM30:AM54" si="61">H30*9</f>
        <v>167632.88399999996</v>
      </c>
      <c r="AN30" s="377">
        <f>H30*0.35</f>
        <v>6519.0565999999981</v>
      </c>
      <c r="AO30" s="373">
        <f t="shared" ref="AO30:AO54" si="62">H30-N30-AN30</f>
        <v>11981.519218399999</v>
      </c>
      <c r="AP30" s="373">
        <f t="shared" ref="AP30:AP54" si="63">H30*10</f>
        <v>186258.75999999995</v>
      </c>
      <c r="AQ30" s="377">
        <f>H30*0.35</f>
        <v>6519.0565999999981</v>
      </c>
      <c r="AR30" s="373">
        <f>H30-N30-AQ30</f>
        <v>11981.519218399999</v>
      </c>
      <c r="AS30" s="373">
        <f t="shared" ref="AS30:AS54" si="64">H30*11</f>
        <v>204884.63599999997</v>
      </c>
      <c r="AT30" s="377">
        <f t="shared" ref="AT30:AT38" si="65">H30*0.35</f>
        <v>6519.0565999999981</v>
      </c>
      <c r="AU30" s="373">
        <f t="shared" ref="AU30:AU54" si="66">H30-N30-AT30</f>
        <v>11981.519218399999</v>
      </c>
      <c r="AV30" s="373">
        <f t="shared" ref="AV30:AV54" si="67">H30*12</f>
        <v>223510.51199999996</v>
      </c>
      <c r="AW30" s="377">
        <f t="shared" ref="AW30:AW47" si="68">H30*0.35</f>
        <v>6519.0565999999981</v>
      </c>
      <c r="AX30" s="373">
        <f t="shared" ref="AX30:AX54" si="69">H30-N30-AW30</f>
        <v>11981.519218399999</v>
      </c>
      <c r="AY30" s="292"/>
      <c r="BA30" s="358"/>
    </row>
    <row r="31" spans="1:53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43"/>
        <v>24980.1</v>
      </c>
      <c r="G31" s="233">
        <v>359</v>
      </c>
      <c r="H31" s="353">
        <f t="shared" ref="H31:H54" si="70">D31+E31*$H$29*$I31-G31</f>
        <v>18625.875999999997</v>
      </c>
      <c r="I31" s="363">
        <v>0.7</v>
      </c>
      <c r="J31" s="362">
        <v>8000</v>
      </c>
      <c r="K31" s="361">
        <f t="shared" si="12"/>
        <v>12815.685885066669</v>
      </c>
      <c r="L31" s="390">
        <v>7803.7321784010674</v>
      </c>
      <c r="M31" s="390">
        <f t="shared" ref="M31:M54" si="71">K31-L31</f>
        <v>5011.9537066656012</v>
      </c>
      <c r="N31" s="372">
        <f t="shared" si="13"/>
        <v>125.30018159999997</v>
      </c>
      <c r="O31" s="373">
        <f t="shared" si="44"/>
        <v>18625.875999999997</v>
      </c>
      <c r="P31" s="374">
        <f t="shared" si="45"/>
        <v>3225.1751999999997</v>
      </c>
      <c r="Q31" s="373">
        <f t="shared" si="46"/>
        <v>15275.400618399997</v>
      </c>
      <c r="R31" s="373">
        <f t="shared" si="47"/>
        <v>37251.751999999993</v>
      </c>
      <c r="S31" s="376">
        <f t="shared" ref="S31:S34" si="72">(R31-25000)*0.27+(25000-O31)*0.2</f>
        <v>4582.7978399999993</v>
      </c>
      <c r="T31" s="373">
        <f t="shared" si="48"/>
        <v>13917.777978399998</v>
      </c>
      <c r="U31" s="373">
        <f t="shared" si="49"/>
        <v>55877.62799999999</v>
      </c>
      <c r="V31" s="376">
        <f t="shared" si="50"/>
        <v>5028.9865199999995</v>
      </c>
      <c r="W31" s="373">
        <f t="shared" si="51"/>
        <v>13471.589298399998</v>
      </c>
      <c r="X31" s="373">
        <f t="shared" si="52"/>
        <v>74503.503999999986</v>
      </c>
      <c r="Y31" s="376">
        <f t="shared" si="53"/>
        <v>5028.9865199999995</v>
      </c>
      <c r="Z31" s="373">
        <f t="shared" si="54"/>
        <v>13471.589298399998</v>
      </c>
      <c r="AA31" s="373">
        <f t="shared" si="55"/>
        <v>93129.379999999976</v>
      </c>
      <c r="AB31" s="377">
        <f t="shared" ref="AB31:AB32" si="73">(AA31-88000)*0.35+(88000-X31)*0.27</f>
        <v>5439.3369199999952</v>
      </c>
      <c r="AC31" s="373">
        <f t="shared" ref="AC31:AC54" si="74">H31-N31-AB31</f>
        <v>13061.238898400003</v>
      </c>
      <c r="AD31" s="373">
        <f t="shared" si="56"/>
        <v>111755.25599999998</v>
      </c>
      <c r="AE31" s="377">
        <f t="shared" ref="AE31:AE32" si="75">H31*0.35</f>
        <v>6519.0565999999981</v>
      </c>
      <c r="AF31" s="373">
        <f t="shared" ref="AF31:AF54" si="76">H31-N31-AE31</f>
        <v>11981.519218399999</v>
      </c>
      <c r="AG31" s="373">
        <f t="shared" si="57"/>
        <v>130381.13199999998</v>
      </c>
      <c r="AH31" s="377">
        <f t="shared" ref="AH31:AH32" si="77">H31*0.35</f>
        <v>6519.0565999999981</v>
      </c>
      <c r="AI31" s="373">
        <f t="shared" si="58"/>
        <v>11981.519218399999</v>
      </c>
      <c r="AJ31" s="373">
        <f t="shared" si="59"/>
        <v>149007.00799999997</v>
      </c>
      <c r="AK31" s="377">
        <f t="shared" ref="AK31:AK32" si="78">H31*0.35</f>
        <v>6519.0565999999981</v>
      </c>
      <c r="AL31" s="373">
        <f t="shared" si="60"/>
        <v>11981.519218399999</v>
      </c>
      <c r="AM31" s="373">
        <f t="shared" si="61"/>
        <v>167632.88399999996</v>
      </c>
      <c r="AN31" s="377">
        <f t="shared" ref="AN31:AN38" si="79">H31*0.35</f>
        <v>6519.0565999999981</v>
      </c>
      <c r="AO31" s="373">
        <f t="shared" si="62"/>
        <v>11981.519218399999</v>
      </c>
      <c r="AP31" s="373">
        <f t="shared" si="63"/>
        <v>186258.75999999995</v>
      </c>
      <c r="AQ31" s="377">
        <f t="shared" ref="AQ31:AQ44" si="80">H31*0.35</f>
        <v>6519.0565999999981</v>
      </c>
      <c r="AR31" s="373">
        <f t="shared" ref="AR31:AR54" si="81">H31-N31-AQ31</f>
        <v>11981.519218399999</v>
      </c>
      <c r="AS31" s="373">
        <f t="shared" si="64"/>
        <v>204884.63599999997</v>
      </c>
      <c r="AT31" s="377">
        <f t="shared" si="65"/>
        <v>6519.0565999999981</v>
      </c>
      <c r="AU31" s="373">
        <f t="shared" si="66"/>
        <v>11981.519218399999</v>
      </c>
      <c r="AV31" s="373">
        <f t="shared" si="67"/>
        <v>223510.51199999996</v>
      </c>
      <c r="AW31" s="377">
        <f t="shared" si="68"/>
        <v>6519.0565999999981</v>
      </c>
      <c r="AX31" s="373">
        <f t="shared" si="69"/>
        <v>11981.519218399999</v>
      </c>
      <c r="AY31" s="292"/>
      <c r="BA31" s="358"/>
    </row>
    <row r="32" spans="1:53" ht="28.5" x14ac:dyDescent="0.45">
      <c r="A32" s="716"/>
      <c r="B32" s="461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70"/>
        <v>18625.875999999997</v>
      </c>
      <c r="I32" s="363">
        <v>0.7</v>
      </c>
      <c r="J32" s="362">
        <v>6844</v>
      </c>
      <c r="K32" s="361">
        <f t="shared" si="12"/>
        <v>12815.685885066669</v>
      </c>
      <c r="L32" s="390">
        <v>6836.8288465866681</v>
      </c>
      <c r="M32" s="390">
        <f t="shared" si="71"/>
        <v>5978.8570384800005</v>
      </c>
      <c r="N32" s="372">
        <f t="shared" si="13"/>
        <v>125.30018159999997</v>
      </c>
      <c r="O32" s="373">
        <f t="shared" si="44"/>
        <v>18625.875999999997</v>
      </c>
      <c r="P32" s="374">
        <f t="shared" si="45"/>
        <v>3225.1751999999997</v>
      </c>
      <c r="Q32" s="373">
        <f t="shared" si="46"/>
        <v>15275.400618399997</v>
      </c>
      <c r="R32" s="373">
        <f t="shared" si="47"/>
        <v>37251.751999999993</v>
      </c>
      <c r="S32" s="376">
        <f t="shared" si="72"/>
        <v>4582.7978399999993</v>
      </c>
      <c r="T32" s="373">
        <f t="shared" si="48"/>
        <v>13917.777978399998</v>
      </c>
      <c r="U32" s="373">
        <f t="shared" si="49"/>
        <v>55877.62799999999</v>
      </c>
      <c r="V32" s="376">
        <f t="shared" si="50"/>
        <v>5028.9865199999995</v>
      </c>
      <c r="W32" s="373">
        <f t="shared" si="51"/>
        <v>13471.589298399998</v>
      </c>
      <c r="X32" s="373">
        <f t="shared" si="52"/>
        <v>74503.503999999986</v>
      </c>
      <c r="Y32" s="376">
        <f t="shared" si="53"/>
        <v>5028.9865199999995</v>
      </c>
      <c r="Z32" s="373">
        <f t="shared" si="54"/>
        <v>13471.589298399998</v>
      </c>
      <c r="AA32" s="373">
        <f t="shared" si="55"/>
        <v>93129.379999999976</v>
      </c>
      <c r="AB32" s="377">
        <f t="shared" si="73"/>
        <v>5439.3369199999952</v>
      </c>
      <c r="AC32" s="373">
        <f t="shared" si="74"/>
        <v>13061.238898400003</v>
      </c>
      <c r="AD32" s="373">
        <f t="shared" si="56"/>
        <v>111755.25599999998</v>
      </c>
      <c r="AE32" s="377">
        <f t="shared" si="75"/>
        <v>6519.0565999999981</v>
      </c>
      <c r="AF32" s="373">
        <f t="shared" si="76"/>
        <v>11981.519218399999</v>
      </c>
      <c r="AG32" s="373">
        <f t="shared" si="57"/>
        <v>130381.13199999998</v>
      </c>
      <c r="AH32" s="377">
        <f t="shared" si="77"/>
        <v>6519.0565999999981</v>
      </c>
      <c r="AI32" s="373">
        <f t="shared" si="58"/>
        <v>11981.519218399999</v>
      </c>
      <c r="AJ32" s="373">
        <f t="shared" si="59"/>
        <v>149007.00799999997</v>
      </c>
      <c r="AK32" s="377">
        <f t="shared" si="78"/>
        <v>6519.0565999999981</v>
      </c>
      <c r="AL32" s="373">
        <f t="shared" si="60"/>
        <v>11981.519218399999</v>
      </c>
      <c r="AM32" s="373">
        <f t="shared" si="61"/>
        <v>167632.88399999996</v>
      </c>
      <c r="AN32" s="377">
        <f t="shared" si="79"/>
        <v>6519.0565999999981</v>
      </c>
      <c r="AO32" s="373">
        <f t="shared" si="62"/>
        <v>11981.519218399999</v>
      </c>
      <c r="AP32" s="373">
        <f t="shared" si="63"/>
        <v>186258.75999999995</v>
      </c>
      <c r="AQ32" s="377">
        <f t="shared" si="80"/>
        <v>6519.0565999999981</v>
      </c>
      <c r="AR32" s="373">
        <f t="shared" si="81"/>
        <v>11981.519218399999</v>
      </c>
      <c r="AS32" s="373">
        <f t="shared" si="64"/>
        <v>204884.63599999997</v>
      </c>
      <c r="AT32" s="377">
        <f t="shared" si="65"/>
        <v>6519.0565999999981</v>
      </c>
      <c r="AU32" s="373">
        <f t="shared" si="66"/>
        <v>11981.519218399999</v>
      </c>
      <c r="AV32" s="373">
        <f t="shared" si="67"/>
        <v>223510.51199999996</v>
      </c>
      <c r="AW32" s="377">
        <f t="shared" si="68"/>
        <v>6519.0565999999981</v>
      </c>
      <c r="AX32" s="373">
        <f t="shared" si="69"/>
        <v>11981.519218399999</v>
      </c>
      <c r="AY32" s="292"/>
      <c r="BA32" s="358"/>
    </row>
    <row r="33" spans="1:53" ht="28.5" x14ac:dyDescent="0.45">
      <c r="A33" s="716"/>
      <c r="B33" s="347" t="s">
        <v>32</v>
      </c>
      <c r="C33" s="283">
        <v>450</v>
      </c>
      <c r="D33" s="238">
        <v>4996.0199999999995</v>
      </c>
      <c r="E33" s="238">
        <v>14988.06</v>
      </c>
      <c r="F33" s="238">
        <f t="shared" si="43"/>
        <v>19984.079999999998</v>
      </c>
      <c r="G33" s="233">
        <v>359</v>
      </c>
      <c r="H33" s="353">
        <f t="shared" si="70"/>
        <v>15128.662</v>
      </c>
      <c r="I33" s="363">
        <v>0.7</v>
      </c>
      <c r="J33" s="362">
        <v>9500</v>
      </c>
      <c r="K33" s="361">
        <f t="shared" si="12"/>
        <v>10547.098584133333</v>
      </c>
      <c r="L33" s="390">
        <v>9254.0871761226681</v>
      </c>
      <c r="M33" s="390">
        <f t="shared" si="71"/>
        <v>1293.011408010665</v>
      </c>
      <c r="N33" s="372">
        <f t="shared" si="13"/>
        <v>102.2185692</v>
      </c>
      <c r="O33" s="373">
        <f t="shared" si="44"/>
        <v>15128.662</v>
      </c>
      <c r="P33" s="374">
        <f t="shared" si="45"/>
        <v>2525.7323999999999</v>
      </c>
      <c r="Q33" s="373">
        <f t="shared" si="46"/>
        <v>12500.711030800001</v>
      </c>
      <c r="R33" s="373">
        <f t="shared" si="47"/>
        <v>30257.324000000001</v>
      </c>
      <c r="S33" s="376">
        <f t="shared" si="72"/>
        <v>3393.7450800000006</v>
      </c>
      <c r="T33" s="373">
        <f t="shared" si="48"/>
        <v>11632.698350799999</v>
      </c>
      <c r="U33" s="373">
        <f t="shared" si="49"/>
        <v>45385.986000000004</v>
      </c>
      <c r="V33" s="376">
        <f t="shared" si="50"/>
        <v>4084.7387400000002</v>
      </c>
      <c r="W33" s="373">
        <f t="shared" si="51"/>
        <v>10941.704690799999</v>
      </c>
      <c r="X33" s="373">
        <f t="shared" si="52"/>
        <v>60514.648000000001</v>
      </c>
      <c r="Y33" s="376">
        <f t="shared" si="53"/>
        <v>4084.7387400000002</v>
      </c>
      <c r="Z33" s="373">
        <f t="shared" si="54"/>
        <v>10941.704690799999</v>
      </c>
      <c r="AA33" s="373">
        <f t="shared" si="55"/>
        <v>75643.31</v>
      </c>
      <c r="AB33" s="376">
        <f t="shared" ref="AB33:AB51" si="82">H33*0.27</f>
        <v>4084.7387400000002</v>
      </c>
      <c r="AC33" s="373">
        <f t="shared" si="74"/>
        <v>10941.704690799999</v>
      </c>
      <c r="AD33" s="373">
        <f t="shared" si="56"/>
        <v>90771.972000000009</v>
      </c>
      <c r="AE33" s="377">
        <f>(AD33-88000)*0.35+(88000-AA33)*0.27</f>
        <v>4306.4965000000038</v>
      </c>
      <c r="AF33" s="373">
        <f t="shared" si="76"/>
        <v>10719.946930799997</v>
      </c>
      <c r="AG33" s="373">
        <f t="shared" si="57"/>
        <v>105900.63400000001</v>
      </c>
      <c r="AH33" s="377">
        <f>(AG33-88000)*0.35+(88000-AD33)*0.27</f>
        <v>5516.7894599999991</v>
      </c>
      <c r="AI33" s="373">
        <f t="shared" si="58"/>
        <v>9509.6539708000018</v>
      </c>
      <c r="AJ33" s="373">
        <f t="shared" si="59"/>
        <v>121029.296</v>
      </c>
      <c r="AK33" s="377">
        <f>H33*0.35</f>
        <v>5295.0316999999995</v>
      </c>
      <c r="AL33" s="373">
        <f t="shared" si="60"/>
        <v>9731.4117308000004</v>
      </c>
      <c r="AM33" s="373">
        <f t="shared" si="61"/>
        <v>136157.95800000001</v>
      </c>
      <c r="AN33" s="377">
        <f t="shared" si="79"/>
        <v>5295.0316999999995</v>
      </c>
      <c r="AO33" s="373">
        <f t="shared" si="62"/>
        <v>9731.4117308000004</v>
      </c>
      <c r="AP33" s="373">
        <f t="shared" si="63"/>
        <v>151286.62</v>
      </c>
      <c r="AQ33" s="377">
        <f t="shared" si="80"/>
        <v>5295.0316999999995</v>
      </c>
      <c r="AR33" s="373">
        <f t="shared" si="81"/>
        <v>9731.4117308000004</v>
      </c>
      <c r="AS33" s="373">
        <f t="shared" si="64"/>
        <v>166415.28200000001</v>
      </c>
      <c r="AT33" s="377">
        <f t="shared" si="65"/>
        <v>5295.0316999999995</v>
      </c>
      <c r="AU33" s="373">
        <f t="shared" si="66"/>
        <v>9731.4117308000004</v>
      </c>
      <c r="AV33" s="373">
        <f t="shared" si="67"/>
        <v>181543.94400000002</v>
      </c>
      <c r="AW33" s="377">
        <f t="shared" si="68"/>
        <v>5295.0316999999995</v>
      </c>
      <c r="AX33" s="373">
        <f t="shared" si="69"/>
        <v>9731.4117308000004</v>
      </c>
      <c r="AY33" s="292"/>
      <c r="BA33" s="358"/>
    </row>
    <row r="34" spans="1:53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43"/>
        <v>19984.079999999998</v>
      </c>
      <c r="G34" s="233">
        <v>359</v>
      </c>
      <c r="H34" s="353">
        <f t="shared" si="70"/>
        <v>15128.662</v>
      </c>
      <c r="I34" s="363">
        <v>0.7</v>
      </c>
      <c r="J34" s="362">
        <v>8300</v>
      </c>
      <c r="K34" s="361">
        <f t="shared" si="12"/>
        <v>10547.098584133333</v>
      </c>
      <c r="L34" s="390">
        <v>8166.3209278314671</v>
      </c>
      <c r="M34" s="390">
        <f t="shared" si="71"/>
        <v>2380.777656301866</v>
      </c>
      <c r="N34" s="372">
        <f t="shared" si="13"/>
        <v>102.2185692</v>
      </c>
      <c r="O34" s="373">
        <f t="shared" si="44"/>
        <v>15128.662</v>
      </c>
      <c r="P34" s="374">
        <f t="shared" si="45"/>
        <v>2525.7323999999999</v>
      </c>
      <c r="Q34" s="373">
        <f t="shared" si="46"/>
        <v>12500.711030800001</v>
      </c>
      <c r="R34" s="373">
        <f t="shared" si="47"/>
        <v>30257.324000000001</v>
      </c>
      <c r="S34" s="376">
        <f t="shared" si="72"/>
        <v>3393.7450800000006</v>
      </c>
      <c r="T34" s="373">
        <f t="shared" si="48"/>
        <v>11632.698350799999</v>
      </c>
      <c r="U34" s="373">
        <f t="shared" si="49"/>
        <v>45385.986000000004</v>
      </c>
      <c r="V34" s="376">
        <f t="shared" si="50"/>
        <v>4084.7387400000002</v>
      </c>
      <c r="W34" s="373">
        <f t="shared" si="51"/>
        <v>10941.704690799999</v>
      </c>
      <c r="X34" s="373">
        <f t="shared" si="52"/>
        <v>60514.648000000001</v>
      </c>
      <c r="Y34" s="376">
        <f t="shared" si="53"/>
        <v>4084.7387400000002</v>
      </c>
      <c r="Z34" s="373">
        <f t="shared" si="54"/>
        <v>10941.704690799999</v>
      </c>
      <c r="AA34" s="373">
        <f t="shared" si="55"/>
        <v>75643.31</v>
      </c>
      <c r="AB34" s="376">
        <f t="shared" si="82"/>
        <v>4084.7387400000002</v>
      </c>
      <c r="AC34" s="373">
        <f t="shared" si="74"/>
        <v>10941.704690799999</v>
      </c>
      <c r="AD34" s="373">
        <f t="shared" si="56"/>
        <v>90771.972000000009</v>
      </c>
      <c r="AE34" s="377">
        <f>(AD34-88000)*0.35+(88000-AA34)*0.27</f>
        <v>4306.4965000000038</v>
      </c>
      <c r="AF34" s="373">
        <f t="shared" si="76"/>
        <v>10719.946930799997</v>
      </c>
      <c r="AG34" s="373">
        <f t="shared" si="57"/>
        <v>105900.63400000001</v>
      </c>
      <c r="AH34" s="377">
        <f>(AG34-88000)*0.35+(88000-AD34)*0.27</f>
        <v>5516.7894599999991</v>
      </c>
      <c r="AI34" s="373">
        <f t="shared" si="58"/>
        <v>9509.6539708000018</v>
      </c>
      <c r="AJ34" s="373">
        <f t="shared" si="59"/>
        <v>121029.296</v>
      </c>
      <c r="AK34" s="377">
        <f>H34*0.35</f>
        <v>5295.0316999999995</v>
      </c>
      <c r="AL34" s="373">
        <f t="shared" si="60"/>
        <v>9731.4117308000004</v>
      </c>
      <c r="AM34" s="373">
        <f t="shared" si="61"/>
        <v>136157.95800000001</v>
      </c>
      <c r="AN34" s="377">
        <f t="shared" si="79"/>
        <v>5295.0316999999995</v>
      </c>
      <c r="AO34" s="373">
        <f t="shared" si="62"/>
        <v>9731.4117308000004</v>
      </c>
      <c r="AP34" s="373">
        <f t="shared" si="63"/>
        <v>151286.62</v>
      </c>
      <c r="AQ34" s="377">
        <f t="shared" si="80"/>
        <v>5295.0316999999995</v>
      </c>
      <c r="AR34" s="373">
        <f t="shared" si="81"/>
        <v>9731.4117308000004</v>
      </c>
      <c r="AS34" s="373">
        <f t="shared" si="64"/>
        <v>166415.28200000001</v>
      </c>
      <c r="AT34" s="377">
        <f t="shared" si="65"/>
        <v>5295.0316999999995</v>
      </c>
      <c r="AU34" s="373">
        <f t="shared" si="66"/>
        <v>9731.4117308000004</v>
      </c>
      <c r="AV34" s="373">
        <f t="shared" si="67"/>
        <v>181543.94400000002</v>
      </c>
      <c r="AW34" s="377">
        <f t="shared" si="68"/>
        <v>5295.0316999999995</v>
      </c>
      <c r="AX34" s="373">
        <f t="shared" si="69"/>
        <v>9731.4117308000004</v>
      </c>
      <c r="AY34" s="292"/>
      <c r="BA34" s="358"/>
    </row>
    <row r="35" spans="1:53" ht="28.5" x14ac:dyDescent="0.45">
      <c r="A35" s="716"/>
      <c r="B35" s="461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43"/>
        <v>14988.059999999998</v>
      </c>
      <c r="G35" s="233">
        <v>359</v>
      </c>
      <c r="H35" s="353">
        <f t="shared" si="70"/>
        <v>11631.447999999999</v>
      </c>
      <c r="I35" s="363">
        <v>0.7</v>
      </c>
      <c r="J35" s="362">
        <v>7300</v>
      </c>
      <c r="K35" s="361">
        <f t="shared" si="12"/>
        <v>8315.4709098666644</v>
      </c>
      <c r="L35" s="390">
        <v>7138.9861377786683</v>
      </c>
      <c r="M35" s="390">
        <f t="shared" si="71"/>
        <v>1176.4847720879961</v>
      </c>
      <c r="N35" s="372">
        <f t="shared" si="13"/>
        <v>79.136956799999993</v>
      </c>
      <c r="O35" s="373">
        <f t="shared" si="44"/>
        <v>11631.447999999999</v>
      </c>
      <c r="P35" s="374">
        <f t="shared" si="45"/>
        <v>1826.2895999999996</v>
      </c>
      <c r="Q35" s="373">
        <f t="shared" si="46"/>
        <v>9726.0214431999993</v>
      </c>
      <c r="R35" s="373">
        <f t="shared" si="47"/>
        <v>23262.895999999997</v>
      </c>
      <c r="S35" s="374">
        <f>H35*0.2</f>
        <v>2326.2895999999996</v>
      </c>
      <c r="T35" s="373">
        <f t="shared" si="48"/>
        <v>9226.0214431999993</v>
      </c>
      <c r="U35" s="373">
        <f t="shared" si="49"/>
        <v>34894.343999999997</v>
      </c>
      <c r="V35" s="376">
        <f>(U35-25000)*0.27+(25000-R35)*0.2</f>
        <v>3018.8936800000001</v>
      </c>
      <c r="W35" s="373">
        <f t="shared" si="51"/>
        <v>8533.4173631999984</v>
      </c>
      <c r="X35" s="373">
        <f t="shared" si="52"/>
        <v>46525.791999999994</v>
      </c>
      <c r="Y35" s="376">
        <f t="shared" si="53"/>
        <v>3140.4909599999996</v>
      </c>
      <c r="Z35" s="373">
        <f t="shared" si="54"/>
        <v>8411.8200832000002</v>
      </c>
      <c r="AA35" s="373">
        <f t="shared" si="55"/>
        <v>58157.239999999991</v>
      </c>
      <c r="AB35" s="376">
        <f t="shared" si="82"/>
        <v>3140.4909599999996</v>
      </c>
      <c r="AC35" s="373">
        <f t="shared" si="74"/>
        <v>8411.8200832000002</v>
      </c>
      <c r="AD35" s="373">
        <f t="shared" si="56"/>
        <v>69788.687999999995</v>
      </c>
      <c r="AE35" s="376">
        <f>H35*0.27</f>
        <v>3140.4909599999996</v>
      </c>
      <c r="AF35" s="373">
        <f t="shared" si="76"/>
        <v>8411.8200832000002</v>
      </c>
      <c r="AG35" s="373">
        <f t="shared" si="57"/>
        <v>81420.135999999984</v>
      </c>
      <c r="AH35" s="376">
        <f>H35*0.27</f>
        <v>3140.4909599999996</v>
      </c>
      <c r="AI35" s="373">
        <f t="shared" si="58"/>
        <v>8411.8200832000002</v>
      </c>
      <c r="AJ35" s="373">
        <f t="shared" si="59"/>
        <v>93051.583999999988</v>
      </c>
      <c r="AK35" s="377">
        <f>(AJ35-88000)*0.35+(88000-AG35)*0.27</f>
        <v>3544.6176800000003</v>
      </c>
      <c r="AL35" s="373">
        <f t="shared" si="60"/>
        <v>8007.6933631999991</v>
      </c>
      <c r="AM35" s="373">
        <f t="shared" si="61"/>
        <v>104683.03199999999</v>
      </c>
      <c r="AN35" s="377">
        <f t="shared" si="79"/>
        <v>4071.0067999999992</v>
      </c>
      <c r="AO35" s="373">
        <f t="shared" si="62"/>
        <v>7481.3042432000002</v>
      </c>
      <c r="AP35" s="373">
        <f t="shared" si="63"/>
        <v>116314.47999999998</v>
      </c>
      <c r="AQ35" s="377">
        <f t="shared" si="80"/>
        <v>4071.0067999999992</v>
      </c>
      <c r="AR35" s="373">
        <f t="shared" si="81"/>
        <v>7481.3042432000002</v>
      </c>
      <c r="AS35" s="373">
        <f t="shared" si="64"/>
        <v>127945.92799999999</v>
      </c>
      <c r="AT35" s="377">
        <f t="shared" si="65"/>
        <v>4071.0067999999992</v>
      </c>
      <c r="AU35" s="373">
        <f t="shared" si="66"/>
        <v>7481.3042432000002</v>
      </c>
      <c r="AV35" s="373">
        <f t="shared" si="67"/>
        <v>139577.37599999999</v>
      </c>
      <c r="AW35" s="377">
        <f t="shared" si="68"/>
        <v>4071.0067999999992</v>
      </c>
      <c r="AX35" s="373">
        <f t="shared" si="69"/>
        <v>7481.3042432000002</v>
      </c>
      <c r="AY35" s="292"/>
      <c r="BA35" s="358"/>
    </row>
    <row r="36" spans="1:53" ht="28.5" x14ac:dyDescent="0.45">
      <c r="A36" s="716"/>
      <c r="B36" s="461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43"/>
        <v>14988.059999999998</v>
      </c>
      <c r="G36" s="233">
        <v>359</v>
      </c>
      <c r="H36" s="353">
        <f t="shared" si="70"/>
        <v>11631.447999999999</v>
      </c>
      <c r="I36" s="363">
        <v>0.7</v>
      </c>
      <c r="J36" s="362">
        <v>7100</v>
      </c>
      <c r="K36" s="361">
        <f t="shared" si="12"/>
        <v>8315.4709098666644</v>
      </c>
      <c r="L36" s="390">
        <v>7138.9861377786683</v>
      </c>
      <c r="M36" s="390">
        <f t="shared" si="71"/>
        <v>1176.4847720879961</v>
      </c>
      <c r="N36" s="372">
        <f t="shared" si="13"/>
        <v>79.136956799999993</v>
      </c>
      <c r="O36" s="373">
        <f t="shared" si="44"/>
        <v>11631.447999999999</v>
      </c>
      <c r="P36" s="374">
        <f t="shared" si="45"/>
        <v>1826.2895999999996</v>
      </c>
      <c r="Q36" s="373">
        <f t="shared" si="46"/>
        <v>9726.0214431999993</v>
      </c>
      <c r="R36" s="373">
        <f t="shared" si="47"/>
        <v>23262.895999999997</v>
      </c>
      <c r="S36" s="374">
        <f t="shared" ref="S36:S38" si="83">H36*0.2</f>
        <v>2326.2895999999996</v>
      </c>
      <c r="T36" s="373">
        <f t="shared" si="48"/>
        <v>9226.0214431999993</v>
      </c>
      <c r="U36" s="373">
        <f t="shared" si="49"/>
        <v>34894.343999999997</v>
      </c>
      <c r="V36" s="376">
        <f>(U36-25000)*0.27+(25000-R36)*0.2</f>
        <v>3018.8936800000001</v>
      </c>
      <c r="W36" s="373">
        <f t="shared" si="51"/>
        <v>8533.4173631999984</v>
      </c>
      <c r="X36" s="373">
        <f t="shared" si="52"/>
        <v>46525.791999999994</v>
      </c>
      <c r="Y36" s="376">
        <f t="shared" si="53"/>
        <v>3140.4909599999996</v>
      </c>
      <c r="Z36" s="373">
        <f t="shared" si="54"/>
        <v>8411.8200832000002</v>
      </c>
      <c r="AA36" s="373">
        <f t="shared" si="55"/>
        <v>58157.239999999991</v>
      </c>
      <c r="AB36" s="376">
        <f t="shared" si="82"/>
        <v>3140.4909599999996</v>
      </c>
      <c r="AC36" s="373">
        <f t="shared" si="74"/>
        <v>8411.8200832000002</v>
      </c>
      <c r="AD36" s="373">
        <f t="shared" si="56"/>
        <v>69788.687999999995</v>
      </c>
      <c r="AE36" s="376">
        <f>H36*0.27</f>
        <v>3140.4909599999996</v>
      </c>
      <c r="AF36" s="373">
        <f t="shared" si="76"/>
        <v>8411.8200832000002</v>
      </c>
      <c r="AG36" s="373">
        <f t="shared" si="57"/>
        <v>81420.135999999984</v>
      </c>
      <c r="AH36" s="376">
        <f>H36*0.27</f>
        <v>3140.4909599999996</v>
      </c>
      <c r="AI36" s="373">
        <f t="shared" si="58"/>
        <v>8411.8200832000002</v>
      </c>
      <c r="AJ36" s="373">
        <f t="shared" si="59"/>
        <v>93051.583999999988</v>
      </c>
      <c r="AK36" s="377">
        <f t="shared" ref="AK36:AK38" si="84">(AJ36-88000)*0.35+(88000-AG36)*0.27</f>
        <v>3544.6176800000003</v>
      </c>
      <c r="AL36" s="373">
        <f t="shared" si="60"/>
        <v>8007.6933631999991</v>
      </c>
      <c r="AM36" s="373">
        <f t="shared" si="61"/>
        <v>104683.03199999999</v>
      </c>
      <c r="AN36" s="377">
        <f t="shared" si="79"/>
        <v>4071.0067999999992</v>
      </c>
      <c r="AO36" s="373">
        <f t="shared" si="62"/>
        <v>7481.3042432000002</v>
      </c>
      <c r="AP36" s="373">
        <f t="shared" si="63"/>
        <v>116314.47999999998</v>
      </c>
      <c r="AQ36" s="377">
        <f t="shared" si="80"/>
        <v>4071.0067999999992</v>
      </c>
      <c r="AR36" s="373">
        <f t="shared" si="81"/>
        <v>7481.3042432000002</v>
      </c>
      <c r="AS36" s="373">
        <f t="shared" si="64"/>
        <v>127945.92799999999</v>
      </c>
      <c r="AT36" s="377">
        <f t="shared" si="65"/>
        <v>4071.0067999999992</v>
      </c>
      <c r="AU36" s="373">
        <f t="shared" si="66"/>
        <v>7481.3042432000002</v>
      </c>
      <c r="AV36" s="373">
        <f t="shared" si="67"/>
        <v>139577.37599999999</v>
      </c>
      <c r="AW36" s="377">
        <f t="shared" si="68"/>
        <v>4071.0067999999992</v>
      </c>
      <c r="AX36" s="373">
        <f t="shared" si="69"/>
        <v>7481.3042432000002</v>
      </c>
      <c r="AY36" s="292"/>
      <c r="BA36" s="358"/>
    </row>
    <row r="37" spans="1:53" ht="28.5" x14ac:dyDescent="0.45">
      <c r="A37" s="716"/>
      <c r="B37" s="461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43"/>
        <v>14988.059999999998</v>
      </c>
      <c r="G37" s="233">
        <v>359</v>
      </c>
      <c r="H37" s="353">
        <f t="shared" si="70"/>
        <v>11631.447999999999</v>
      </c>
      <c r="I37" s="363">
        <v>0.7</v>
      </c>
      <c r="J37" s="362">
        <v>6900</v>
      </c>
      <c r="K37" s="361">
        <f t="shared" si="12"/>
        <v>8315.4709098666644</v>
      </c>
      <c r="L37" s="390">
        <v>6836.8288465866681</v>
      </c>
      <c r="M37" s="390">
        <f t="shared" si="71"/>
        <v>1478.6420632799964</v>
      </c>
      <c r="N37" s="372">
        <f t="shared" si="13"/>
        <v>79.136956799999993</v>
      </c>
      <c r="O37" s="373">
        <f t="shared" si="44"/>
        <v>11631.447999999999</v>
      </c>
      <c r="P37" s="374">
        <f t="shared" si="45"/>
        <v>1826.2895999999996</v>
      </c>
      <c r="Q37" s="373">
        <f t="shared" si="46"/>
        <v>9726.0214431999993</v>
      </c>
      <c r="R37" s="373">
        <f t="shared" si="47"/>
        <v>23262.895999999997</v>
      </c>
      <c r="S37" s="374">
        <f t="shared" si="83"/>
        <v>2326.2895999999996</v>
      </c>
      <c r="T37" s="373">
        <f t="shared" si="48"/>
        <v>9226.0214431999993</v>
      </c>
      <c r="U37" s="373">
        <f t="shared" si="49"/>
        <v>34894.343999999997</v>
      </c>
      <c r="V37" s="376">
        <f>(U37-25000)*0.27+(25000-R37)*0.2</f>
        <v>3018.8936800000001</v>
      </c>
      <c r="W37" s="373">
        <f t="shared" si="51"/>
        <v>8533.4173631999984</v>
      </c>
      <c r="X37" s="373">
        <f t="shared" si="52"/>
        <v>46525.791999999994</v>
      </c>
      <c r="Y37" s="376">
        <f t="shared" si="53"/>
        <v>3140.4909599999996</v>
      </c>
      <c r="Z37" s="373">
        <f t="shared" si="54"/>
        <v>8411.8200832000002</v>
      </c>
      <c r="AA37" s="373">
        <f t="shared" si="55"/>
        <v>58157.239999999991</v>
      </c>
      <c r="AB37" s="376">
        <f t="shared" si="82"/>
        <v>3140.4909599999996</v>
      </c>
      <c r="AC37" s="373">
        <f t="shared" si="74"/>
        <v>8411.8200832000002</v>
      </c>
      <c r="AD37" s="373">
        <f t="shared" si="56"/>
        <v>69788.687999999995</v>
      </c>
      <c r="AE37" s="376">
        <f>H37*0.27</f>
        <v>3140.4909599999996</v>
      </c>
      <c r="AF37" s="373">
        <f t="shared" si="76"/>
        <v>8411.8200832000002</v>
      </c>
      <c r="AG37" s="373">
        <f t="shared" si="57"/>
        <v>81420.135999999984</v>
      </c>
      <c r="AH37" s="376">
        <f>H37*0.27</f>
        <v>3140.4909599999996</v>
      </c>
      <c r="AI37" s="373">
        <f t="shared" si="58"/>
        <v>8411.8200832000002</v>
      </c>
      <c r="AJ37" s="373">
        <f t="shared" si="59"/>
        <v>93051.583999999988</v>
      </c>
      <c r="AK37" s="377">
        <f t="shared" si="84"/>
        <v>3544.6176800000003</v>
      </c>
      <c r="AL37" s="373">
        <f t="shared" si="60"/>
        <v>8007.6933631999991</v>
      </c>
      <c r="AM37" s="373">
        <f t="shared" si="61"/>
        <v>104683.03199999999</v>
      </c>
      <c r="AN37" s="377">
        <f t="shared" si="79"/>
        <v>4071.0067999999992</v>
      </c>
      <c r="AO37" s="373">
        <f t="shared" si="62"/>
        <v>7481.3042432000002</v>
      </c>
      <c r="AP37" s="373">
        <f t="shared" si="63"/>
        <v>116314.47999999998</v>
      </c>
      <c r="AQ37" s="377">
        <f t="shared" si="80"/>
        <v>4071.0067999999992</v>
      </c>
      <c r="AR37" s="373">
        <f t="shared" si="81"/>
        <v>7481.3042432000002</v>
      </c>
      <c r="AS37" s="373">
        <f t="shared" si="64"/>
        <v>127945.92799999999</v>
      </c>
      <c r="AT37" s="377">
        <f t="shared" si="65"/>
        <v>4071.0067999999992</v>
      </c>
      <c r="AU37" s="373">
        <f t="shared" si="66"/>
        <v>7481.3042432000002</v>
      </c>
      <c r="AV37" s="373">
        <f t="shared" si="67"/>
        <v>139577.37599999999</v>
      </c>
      <c r="AW37" s="377">
        <f t="shared" si="68"/>
        <v>4071.0067999999992</v>
      </c>
      <c r="AX37" s="373">
        <f t="shared" si="69"/>
        <v>7481.3042432000002</v>
      </c>
      <c r="AY37" s="292"/>
      <c r="BA37" s="358"/>
    </row>
    <row r="38" spans="1:53" ht="28.5" x14ac:dyDescent="0.45">
      <c r="A38" s="716"/>
      <c r="B38" s="392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43"/>
        <v>14988.059999999998</v>
      </c>
      <c r="G38" s="233">
        <v>359</v>
      </c>
      <c r="H38" s="353">
        <f t="shared" si="70"/>
        <v>11631.447999999999</v>
      </c>
      <c r="I38" s="363">
        <v>0.7</v>
      </c>
      <c r="J38" s="362">
        <v>4900</v>
      </c>
      <c r="K38" s="361">
        <f t="shared" si="12"/>
        <v>8315.4709098666644</v>
      </c>
      <c r="L38" s="390">
        <v>4890.514842049598</v>
      </c>
      <c r="M38" s="390">
        <f t="shared" si="71"/>
        <v>3424.9560678170665</v>
      </c>
      <c r="N38" s="372">
        <f t="shared" si="13"/>
        <v>79.136956799999993</v>
      </c>
      <c r="O38" s="373">
        <f t="shared" si="44"/>
        <v>11631.447999999999</v>
      </c>
      <c r="P38" s="374">
        <f t="shared" si="45"/>
        <v>1826.2895999999996</v>
      </c>
      <c r="Q38" s="373">
        <f t="shared" si="46"/>
        <v>9726.0214431999993</v>
      </c>
      <c r="R38" s="373">
        <f t="shared" si="47"/>
        <v>23262.895999999997</v>
      </c>
      <c r="S38" s="374">
        <f t="shared" si="83"/>
        <v>2326.2895999999996</v>
      </c>
      <c r="T38" s="373">
        <f t="shared" si="48"/>
        <v>9226.0214431999993</v>
      </c>
      <c r="U38" s="373">
        <f t="shared" si="49"/>
        <v>34894.343999999997</v>
      </c>
      <c r="V38" s="376">
        <f>(U38-25000)*0.27+(25000-R38)*0.2</f>
        <v>3018.8936800000001</v>
      </c>
      <c r="W38" s="373">
        <f t="shared" si="51"/>
        <v>8533.4173631999984</v>
      </c>
      <c r="X38" s="373">
        <f t="shared" si="52"/>
        <v>46525.791999999994</v>
      </c>
      <c r="Y38" s="376">
        <f t="shared" si="53"/>
        <v>3140.4909599999996</v>
      </c>
      <c r="Z38" s="373">
        <f t="shared" si="54"/>
        <v>8411.8200832000002</v>
      </c>
      <c r="AA38" s="373">
        <f t="shared" si="55"/>
        <v>58157.239999999991</v>
      </c>
      <c r="AB38" s="376">
        <f t="shared" si="82"/>
        <v>3140.4909599999996</v>
      </c>
      <c r="AC38" s="373">
        <f t="shared" si="74"/>
        <v>8411.8200832000002</v>
      </c>
      <c r="AD38" s="373">
        <f t="shared" si="56"/>
        <v>69788.687999999995</v>
      </c>
      <c r="AE38" s="376">
        <f>H38*0.27</f>
        <v>3140.4909599999996</v>
      </c>
      <c r="AF38" s="373">
        <f t="shared" si="76"/>
        <v>8411.8200832000002</v>
      </c>
      <c r="AG38" s="373">
        <f t="shared" si="57"/>
        <v>81420.135999999984</v>
      </c>
      <c r="AH38" s="376">
        <f>H38*0.27</f>
        <v>3140.4909599999996</v>
      </c>
      <c r="AI38" s="373">
        <f t="shared" si="58"/>
        <v>8411.8200832000002</v>
      </c>
      <c r="AJ38" s="373">
        <f t="shared" si="59"/>
        <v>93051.583999999988</v>
      </c>
      <c r="AK38" s="377">
        <f t="shared" si="84"/>
        <v>3544.6176800000003</v>
      </c>
      <c r="AL38" s="373">
        <f t="shared" si="60"/>
        <v>8007.6933631999991</v>
      </c>
      <c r="AM38" s="373">
        <f t="shared" si="61"/>
        <v>104683.03199999999</v>
      </c>
      <c r="AN38" s="377">
        <f t="shared" si="79"/>
        <v>4071.0067999999992</v>
      </c>
      <c r="AO38" s="373">
        <f t="shared" si="62"/>
        <v>7481.3042432000002</v>
      </c>
      <c r="AP38" s="373">
        <f t="shared" si="63"/>
        <v>116314.47999999998</v>
      </c>
      <c r="AQ38" s="377">
        <f t="shared" si="80"/>
        <v>4071.0067999999992</v>
      </c>
      <c r="AR38" s="373">
        <f t="shared" si="81"/>
        <v>7481.3042432000002</v>
      </c>
      <c r="AS38" s="373">
        <f t="shared" si="64"/>
        <v>127945.92799999999</v>
      </c>
      <c r="AT38" s="377">
        <f t="shared" si="65"/>
        <v>4071.0067999999992</v>
      </c>
      <c r="AU38" s="373">
        <f t="shared" si="66"/>
        <v>7481.3042432000002</v>
      </c>
      <c r="AV38" s="373">
        <f t="shared" si="67"/>
        <v>139577.37599999999</v>
      </c>
      <c r="AW38" s="377">
        <f t="shared" si="68"/>
        <v>4071.0067999999992</v>
      </c>
      <c r="AX38" s="373">
        <f t="shared" si="69"/>
        <v>7481.3042432000002</v>
      </c>
      <c r="AY38" s="292"/>
      <c r="BA38" s="358"/>
    </row>
    <row r="39" spans="1:53" ht="28.5" x14ac:dyDescent="0.45">
      <c r="A39" s="716" t="s">
        <v>29</v>
      </c>
      <c r="B39" s="461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43"/>
        <v>24980.1</v>
      </c>
      <c r="G39" s="233">
        <v>359</v>
      </c>
      <c r="H39" s="353">
        <f t="shared" si="70"/>
        <v>18625.875999999997</v>
      </c>
      <c r="I39" s="363">
        <v>0.7</v>
      </c>
      <c r="J39" s="362">
        <v>11600</v>
      </c>
      <c r="K39" s="361">
        <f t="shared" si="12"/>
        <v>12815.685885066669</v>
      </c>
      <c r="L39" s="390">
        <v>11308.756756228262</v>
      </c>
      <c r="M39" s="390">
        <f t="shared" si="71"/>
        <v>1506.9291288384065</v>
      </c>
      <c r="N39" s="372">
        <f t="shared" si="13"/>
        <v>125.30018159999997</v>
      </c>
      <c r="O39" s="373">
        <f t="shared" si="44"/>
        <v>18625.875999999997</v>
      </c>
      <c r="P39" s="374">
        <f t="shared" si="45"/>
        <v>3225.1751999999997</v>
      </c>
      <c r="Q39" s="373">
        <f t="shared" si="46"/>
        <v>15275.400618399997</v>
      </c>
      <c r="R39" s="373">
        <f t="shared" si="47"/>
        <v>37251.751999999993</v>
      </c>
      <c r="S39" s="376">
        <f>(R39-25000)*0.27+(25000-O39)*0.2</f>
        <v>4582.7978399999993</v>
      </c>
      <c r="T39" s="373">
        <f t="shared" si="48"/>
        <v>13917.777978399998</v>
      </c>
      <c r="U39" s="373">
        <f t="shared" si="49"/>
        <v>55877.62799999999</v>
      </c>
      <c r="V39" s="376">
        <f t="shared" ref="V39:V44" si="85">O39*0.27</f>
        <v>5028.9865199999995</v>
      </c>
      <c r="W39" s="373">
        <f t="shared" si="51"/>
        <v>13471.589298399998</v>
      </c>
      <c r="X39" s="373">
        <f t="shared" si="52"/>
        <v>74503.503999999986</v>
      </c>
      <c r="Y39" s="376">
        <f t="shared" si="53"/>
        <v>5028.9865199999995</v>
      </c>
      <c r="Z39" s="373">
        <f t="shared" si="54"/>
        <v>13471.589298399998</v>
      </c>
      <c r="AA39" s="373">
        <f t="shared" si="55"/>
        <v>93129.379999999976</v>
      </c>
      <c r="AB39" s="377">
        <f t="shared" ref="AB39:AB40" si="86">(AA39-88000)*0.35+(88000-X39)*0.27</f>
        <v>5439.3369199999952</v>
      </c>
      <c r="AC39" s="373">
        <f t="shared" si="74"/>
        <v>13061.238898400003</v>
      </c>
      <c r="AD39" s="373">
        <f t="shared" si="56"/>
        <v>111755.25599999998</v>
      </c>
      <c r="AE39" s="377">
        <f t="shared" ref="AE39:AE40" si="87">H39*0.35</f>
        <v>6519.0565999999981</v>
      </c>
      <c r="AF39" s="373">
        <f t="shared" si="76"/>
        <v>11981.519218399999</v>
      </c>
      <c r="AG39" s="373">
        <f t="shared" si="57"/>
        <v>130381.13199999998</v>
      </c>
      <c r="AH39" s="377">
        <f>H39*0.35</f>
        <v>6519.0565999999981</v>
      </c>
      <c r="AI39" s="373">
        <f t="shared" si="58"/>
        <v>11981.519218399999</v>
      </c>
      <c r="AJ39" s="373">
        <f t="shared" si="59"/>
        <v>149007.00799999997</v>
      </c>
      <c r="AK39" s="377">
        <f>H39*0.35</f>
        <v>6519.0565999999981</v>
      </c>
      <c r="AL39" s="373">
        <f t="shared" si="60"/>
        <v>11981.519218399999</v>
      </c>
      <c r="AM39" s="373">
        <f t="shared" si="61"/>
        <v>167632.88399999996</v>
      </c>
      <c r="AN39" s="377">
        <f>H39*0.35</f>
        <v>6519.0565999999981</v>
      </c>
      <c r="AO39" s="373">
        <f t="shared" si="62"/>
        <v>11981.519218399999</v>
      </c>
      <c r="AP39" s="373">
        <f t="shared" si="63"/>
        <v>186258.75999999995</v>
      </c>
      <c r="AQ39" s="377">
        <f t="shared" si="80"/>
        <v>6519.0565999999981</v>
      </c>
      <c r="AR39" s="373">
        <f t="shared" si="81"/>
        <v>11981.519218399999</v>
      </c>
      <c r="AS39" s="373">
        <f t="shared" si="64"/>
        <v>204884.63599999997</v>
      </c>
      <c r="AT39" s="377">
        <f t="shared" ref="AT39:AT44" si="88">H39*0.35</f>
        <v>6519.0565999999981</v>
      </c>
      <c r="AU39" s="373">
        <f t="shared" si="66"/>
        <v>11981.519218399999</v>
      </c>
      <c r="AV39" s="373">
        <f t="shared" si="67"/>
        <v>223510.51199999996</v>
      </c>
      <c r="AW39" s="377">
        <f t="shared" si="68"/>
        <v>6519.0565999999981</v>
      </c>
      <c r="AX39" s="373">
        <f t="shared" si="69"/>
        <v>11981.519218399999</v>
      </c>
      <c r="AY39" s="292"/>
      <c r="BA39" s="358"/>
    </row>
    <row r="40" spans="1:53" ht="28.5" x14ac:dyDescent="0.45">
      <c r="A40" s="716"/>
      <c r="B40" s="461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43"/>
        <v>24980.1</v>
      </c>
      <c r="G40" s="233">
        <v>359</v>
      </c>
      <c r="H40" s="353">
        <f t="shared" si="70"/>
        <v>18625.875999999997</v>
      </c>
      <c r="I40" s="363">
        <v>0.7</v>
      </c>
      <c r="J40" s="362">
        <v>7900</v>
      </c>
      <c r="K40" s="361">
        <f t="shared" si="12"/>
        <v>12815.685885066669</v>
      </c>
      <c r="L40" s="390">
        <v>7803.7321784010674</v>
      </c>
      <c r="M40" s="390">
        <f t="shared" si="71"/>
        <v>5011.9537066656012</v>
      </c>
      <c r="N40" s="372">
        <f t="shared" si="13"/>
        <v>125.30018159999997</v>
      </c>
      <c r="O40" s="373">
        <f t="shared" si="44"/>
        <v>18625.875999999997</v>
      </c>
      <c r="P40" s="374">
        <f t="shared" si="45"/>
        <v>3225.1751999999997</v>
      </c>
      <c r="Q40" s="373">
        <f t="shared" si="46"/>
        <v>15275.400618399997</v>
      </c>
      <c r="R40" s="373">
        <f t="shared" si="47"/>
        <v>37251.751999999993</v>
      </c>
      <c r="S40" s="376">
        <f t="shared" ref="S40:S44" si="89">(R40-25000)*0.27+(25000-O40)*0.2</f>
        <v>4582.7978399999993</v>
      </c>
      <c r="T40" s="373">
        <f t="shared" si="48"/>
        <v>13917.777978399998</v>
      </c>
      <c r="U40" s="373">
        <f t="shared" si="49"/>
        <v>55877.62799999999</v>
      </c>
      <c r="V40" s="376">
        <f t="shared" si="85"/>
        <v>5028.9865199999995</v>
      </c>
      <c r="W40" s="373">
        <f t="shared" si="51"/>
        <v>13471.589298399998</v>
      </c>
      <c r="X40" s="373">
        <f t="shared" si="52"/>
        <v>74503.503999999986</v>
      </c>
      <c r="Y40" s="376">
        <f t="shared" si="53"/>
        <v>5028.9865199999995</v>
      </c>
      <c r="Z40" s="373">
        <f t="shared" si="54"/>
        <v>13471.589298399998</v>
      </c>
      <c r="AA40" s="373">
        <f t="shared" si="55"/>
        <v>93129.379999999976</v>
      </c>
      <c r="AB40" s="377">
        <f t="shared" si="86"/>
        <v>5439.3369199999952</v>
      </c>
      <c r="AC40" s="373">
        <f t="shared" si="74"/>
        <v>13061.238898400003</v>
      </c>
      <c r="AD40" s="373">
        <f t="shared" si="56"/>
        <v>111755.25599999998</v>
      </c>
      <c r="AE40" s="377">
        <f t="shared" si="87"/>
        <v>6519.0565999999981</v>
      </c>
      <c r="AF40" s="373">
        <f t="shared" si="76"/>
        <v>11981.519218399999</v>
      </c>
      <c r="AG40" s="373">
        <f t="shared" si="57"/>
        <v>130381.13199999998</v>
      </c>
      <c r="AH40" s="377">
        <f>H40*0.35</f>
        <v>6519.0565999999981</v>
      </c>
      <c r="AI40" s="373">
        <f t="shared" si="58"/>
        <v>11981.519218399999</v>
      </c>
      <c r="AJ40" s="373">
        <f t="shared" si="59"/>
        <v>149007.00799999997</v>
      </c>
      <c r="AK40" s="377">
        <f>H40*0.35</f>
        <v>6519.0565999999981</v>
      </c>
      <c r="AL40" s="373">
        <f t="shared" si="60"/>
        <v>11981.519218399999</v>
      </c>
      <c r="AM40" s="373">
        <f t="shared" si="61"/>
        <v>167632.88399999996</v>
      </c>
      <c r="AN40" s="377">
        <f t="shared" ref="AN40:AN44" si="90">H40*0.35</f>
        <v>6519.0565999999981</v>
      </c>
      <c r="AO40" s="373">
        <f t="shared" si="62"/>
        <v>11981.519218399999</v>
      </c>
      <c r="AP40" s="373">
        <f t="shared" si="63"/>
        <v>186258.75999999995</v>
      </c>
      <c r="AQ40" s="377">
        <f t="shared" si="80"/>
        <v>6519.0565999999981</v>
      </c>
      <c r="AR40" s="373">
        <f t="shared" si="81"/>
        <v>11981.519218399999</v>
      </c>
      <c r="AS40" s="373">
        <f t="shared" si="64"/>
        <v>204884.63599999997</v>
      </c>
      <c r="AT40" s="377">
        <f t="shared" si="88"/>
        <v>6519.0565999999981</v>
      </c>
      <c r="AU40" s="373">
        <f t="shared" si="66"/>
        <v>11981.519218399999</v>
      </c>
      <c r="AV40" s="373">
        <f t="shared" si="67"/>
        <v>223510.51199999996</v>
      </c>
      <c r="AW40" s="377">
        <f t="shared" si="68"/>
        <v>6519.0565999999981</v>
      </c>
      <c r="AX40" s="373">
        <f t="shared" si="69"/>
        <v>11981.519218399999</v>
      </c>
      <c r="AY40" s="292"/>
      <c r="BA40" s="358"/>
    </row>
    <row r="41" spans="1:53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43"/>
        <v>19984.079999999998</v>
      </c>
      <c r="G41" s="233">
        <v>359</v>
      </c>
      <c r="H41" s="353">
        <f t="shared" si="70"/>
        <v>15128.662</v>
      </c>
      <c r="I41" s="363">
        <v>0.7</v>
      </c>
      <c r="J41" s="362">
        <v>9000</v>
      </c>
      <c r="K41" s="361">
        <f t="shared" si="12"/>
        <v>10547.098584133333</v>
      </c>
      <c r="L41" s="390">
        <v>8800.8512393346664</v>
      </c>
      <c r="M41" s="390">
        <f t="shared" si="71"/>
        <v>1746.2473447986667</v>
      </c>
      <c r="N41" s="372">
        <f t="shared" si="13"/>
        <v>102.2185692</v>
      </c>
      <c r="O41" s="373">
        <f t="shared" si="44"/>
        <v>15128.662</v>
      </c>
      <c r="P41" s="374">
        <f t="shared" si="45"/>
        <v>2525.7323999999999</v>
      </c>
      <c r="Q41" s="373">
        <f t="shared" si="46"/>
        <v>12500.711030800001</v>
      </c>
      <c r="R41" s="373">
        <f t="shared" si="47"/>
        <v>30257.324000000001</v>
      </c>
      <c r="S41" s="376">
        <f t="shared" si="89"/>
        <v>3393.7450800000006</v>
      </c>
      <c r="T41" s="373">
        <f t="shared" si="48"/>
        <v>11632.698350799999</v>
      </c>
      <c r="U41" s="373">
        <f t="shared" si="49"/>
        <v>45385.986000000004</v>
      </c>
      <c r="V41" s="376">
        <f t="shared" si="85"/>
        <v>4084.7387400000002</v>
      </c>
      <c r="W41" s="373">
        <f t="shared" si="51"/>
        <v>10941.704690799999</v>
      </c>
      <c r="X41" s="373">
        <f t="shared" si="52"/>
        <v>60514.648000000001</v>
      </c>
      <c r="Y41" s="376">
        <f t="shared" si="53"/>
        <v>4084.7387400000002</v>
      </c>
      <c r="Z41" s="373">
        <f t="shared" si="54"/>
        <v>10941.704690799999</v>
      </c>
      <c r="AA41" s="373">
        <f t="shared" si="55"/>
        <v>75643.31</v>
      </c>
      <c r="AB41" s="376">
        <f t="shared" si="82"/>
        <v>4084.7387400000002</v>
      </c>
      <c r="AC41" s="373">
        <f t="shared" si="74"/>
        <v>10941.704690799999</v>
      </c>
      <c r="AD41" s="373">
        <f t="shared" si="56"/>
        <v>90771.972000000009</v>
      </c>
      <c r="AE41" s="377">
        <f t="shared" ref="AE41:AE44" si="91">(AD41-88000)*0.35+(88000-AA41)*0.27</f>
        <v>4306.4965000000038</v>
      </c>
      <c r="AF41" s="373">
        <f t="shared" si="76"/>
        <v>10719.946930799997</v>
      </c>
      <c r="AG41" s="373">
        <f t="shared" si="57"/>
        <v>105900.63400000001</v>
      </c>
      <c r="AH41" s="377">
        <f t="shared" ref="AH41:AH44" si="92">(AG41-88000)*0.35+(88000-AD41)*0.27</f>
        <v>5516.7894599999991</v>
      </c>
      <c r="AI41" s="373">
        <f t="shared" si="58"/>
        <v>9509.6539708000018</v>
      </c>
      <c r="AJ41" s="373">
        <f t="shared" si="59"/>
        <v>121029.296</v>
      </c>
      <c r="AK41" s="377">
        <f>H41*0.35</f>
        <v>5295.0316999999995</v>
      </c>
      <c r="AL41" s="373">
        <f t="shared" si="60"/>
        <v>9731.4117308000004</v>
      </c>
      <c r="AM41" s="373">
        <f t="shared" si="61"/>
        <v>136157.95800000001</v>
      </c>
      <c r="AN41" s="377">
        <f t="shared" si="90"/>
        <v>5295.0316999999995</v>
      </c>
      <c r="AO41" s="373">
        <f t="shared" si="62"/>
        <v>9731.4117308000004</v>
      </c>
      <c r="AP41" s="373">
        <f t="shared" si="63"/>
        <v>151286.62</v>
      </c>
      <c r="AQ41" s="377">
        <f t="shared" si="80"/>
        <v>5295.0316999999995</v>
      </c>
      <c r="AR41" s="373">
        <f t="shared" si="81"/>
        <v>9731.4117308000004</v>
      </c>
      <c r="AS41" s="373">
        <f t="shared" si="64"/>
        <v>166415.28200000001</v>
      </c>
      <c r="AT41" s="377">
        <f t="shared" si="88"/>
        <v>5295.0316999999995</v>
      </c>
      <c r="AU41" s="373">
        <f t="shared" si="66"/>
        <v>9731.4117308000004</v>
      </c>
      <c r="AV41" s="373">
        <f t="shared" si="67"/>
        <v>181543.94400000002</v>
      </c>
      <c r="AW41" s="377">
        <f t="shared" si="68"/>
        <v>5295.0316999999995</v>
      </c>
      <c r="AX41" s="373">
        <f t="shared" si="69"/>
        <v>9731.4117308000004</v>
      </c>
      <c r="AY41" s="292"/>
      <c r="BA41" s="358"/>
    </row>
    <row r="42" spans="1:53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43"/>
        <v>19984.079999999998</v>
      </c>
      <c r="G42" s="233">
        <v>359</v>
      </c>
      <c r="H42" s="353">
        <f t="shared" si="70"/>
        <v>15128.662</v>
      </c>
      <c r="I42" s="363">
        <v>0.7</v>
      </c>
      <c r="J42" s="362">
        <v>8000</v>
      </c>
      <c r="K42" s="361">
        <f t="shared" si="12"/>
        <v>10547.098584133333</v>
      </c>
      <c r="L42" s="390">
        <v>7803.7321784010674</v>
      </c>
      <c r="M42" s="390">
        <f t="shared" si="71"/>
        <v>2743.3664057322658</v>
      </c>
      <c r="N42" s="372">
        <f t="shared" si="13"/>
        <v>102.2185692</v>
      </c>
      <c r="O42" s="373">
        <f t="shared" si="44"/>
        <v>15128.662</v>
      </c>
      <c r="P42" s="374">
        <f t="shared" si="45"/>
        <v>2525.7323999999999</v>
      </c>
      <c r="Q42" s="373">
        <f t="shared" si="46"/>
        <v>12500.711030800001</v>
      </c>
      <c r="R42" s="373">
        <f t="shared" si="47"/>
        <v>30257.324000000001</v>
      </c>
      <c r="S42" s="376">
        <f t="shared" si="89"/>
        <v>3393.7450800000006</v>
      </c>
      <c r="T42" s="373">
        <f t="shared" si="48"/>
        <v>11632.698350799999</v>
      </c>
      <c r="U42" s="373">
        <f t="shared" si="49"/>
        <v>45385.986000000004</v>
      </c>
      <c r="V42" s="376">
        <f t="shared" si="85"/>
        <v>4084.7387400000002</v>
      </c>
      <c r="W42" s="373">
        <f t="shared" si="51"/>
        <v>10941.704690799999</v>
      </c>
      <c r="X42" s="373">
        <f t="shared" si="52"/>
        <v>60514.648000000001</v>
      </c>
      <c r="Y42" s="376">
        <f t="shared" si="53"/>
        <v>4084.7387400000002</v>
      </c>
      <c r="Z42" s="373">
        <f t="shared" si="54"/>
        <v>10941.704690799999</v>
      </c>
      <c r="AA42" s="373">
        <f t="shared" si="55"/>
        <v>75643.31</v>
      </c>
      <c r="AB42" s="376">
        <f t="shared" si="82"/>
        <v>4084.7387400000002</v>
      </c>
      <c r="AC42" s="373">
        <f t="shared" si="74"/>
        <v>10941.704690799999</v>
      </c>
      <c r="AD42" s="373">
        <f t="shared" si="56"/>
        <v>90771.972000000009</v>
      </c>
      <c r="AE42" s="377">
        <f t="shared" si="91"/>
        <v>4306.4965000000038</v>
      </c>
      <c r="AF42" s="373">
        <f t="shared" si="76"/>
        <v>10719.946930799997</v>
      </c>
      <c r="AG42" s="373">
        <f t="shared" si="57"/>
        <v>105900.63400000001</v>
      </c>
      <c r="AH42" s="377">
        <f t="shared" si="92"/>
        <v>5516.7894599999991</v>
      </c>
      <c r="AI42" s="373">
        <f t="shared" si="58"/>
        <v>9509.6539708000018</v>
      </c>
      <c r="AJ42" s="373">
        <f t="shared" si="59"/>
        <v>121029.296</v>
      </c>
      <c r="AK42" s="377">
        <f t="shared" ref="AK42:AK44" si="93">H42*0.35</f>
        <v>5295.0316999999995</v>
      </c>
      <c r="AL42" s="373">
        <f t="shared" si="60"/>
        <v>9731.4117308000004</v>
      </c>
      <c r="AM42" s="373">
        <f t="shared" si="61"/>
        <v>136157.95800000001</v>
      </c>
      <c r="AN42" s="377">
        <f t="shared" si="90"/>
        <v>5295.0316999999995</v>
      </c>
      <c r="AO42" s="373">
        <f t="shared" si="62"/>
        <v>9731.4117308000004</v>
      </c>
      <c r="AP42" s="373">
        <f t="shared" si="63"/>
        <v>151286.62</v>
      </c>
      <c r="AQ42" s="377">
        <f t="shared" si="80"/>
        <v>5295.0316999999995</v>
      </c>
      <c r="AR42" s="373">
        <f t="shared" si="81"/>
        <v>9731.4117308000004</v>
      </c>
      <c r="AS42" s="373">
        <f t="shared" si="64"/>
        <v>166415.28200000001</v>
      </c>
      <c r="AT42" s="377">
        <f t="shared" si="88"/>
        <v>5295.0316999999995</v>
      </c>
      <c r="AU42" s="373">
        <f t="shared" si="66"/>
        <v>9731.4117308000004</v>
      </c>
      <c r="AV42" s="373">
        <f t="shared" si="67"/>
        <v>181543.94400000002</v>
      </c>
      <c r="AW42" s="377">
        <f t="shared" si="68"/>
        <v>5295.0316999999995</v>
      </c>
      <c r="AX42" s="373">
        <f t="shared" si="69"/>
        <v>9731.4117308000004</v>
      </c>
      <c r="AY42" s="292"/>
      <c r="BA42" s="358"/>
    </row>
    <row r="43" spans="1:53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43"/>
        <v>19984.079999999998</v>
      </c>
      <c r="G43" s="233">
        <v>359</v>
      </c>
      <c r="H43" s="353">
        <f t="shared" si="70"/>
        <v>15128.662</v>
      </c>
      <c r="I43" s="363">
        <v>0.7</v>
      </c>
      <c r="J43" s="362">
        <v>7000</v>
      </c>
      <c r="K43" s="361">
        <f t="shared" si="12"/>
        <v>10547.098584133333</v>
      </c>
      <c r="L43" s="390">
        <v>6897.2603048250676</v>
      </c>
      <c r="M43" s="390">
        <f t="shared" si="71"/>
        <v>3649.8382793082656</v>
      </c>
      <c r="N43" s="372">
        <f t="shared" si="13"/>
        <v>102.2185692</v>
      </c>
      <c r="O43" s="373">
        <f t="shared" si="44"/>
        <v>15128.662</v>
      </c>
      <c r="P43" s="374">
        <f t="shared" si="45"/>
        <v>2525.7323999999999</v>
      </c>
      <c r="Q43" s="373">
        <f t="shared" si="46"/>
        <v>12500.711030800001</v>
      </c>
      <c r="R43" s="373">
        <f t="shared" si="47"/>
        <v>30257.324000000001</v>
      </c>
      <c r="S43" s="376">
        <f t="shared" si="89"/>
        <v>3393.7450800000006</v>
      </c>
      <c r="T43" s="373">
        <f t="shared" si="48"/>
        <v>11632.698350799999</v>
      </c>
      <c r="U43" s="373">
        <f t="shared" si="49"/>
        <v>45385.986000000004</v>
      </c>
      <c r="V43" s="376">
        <f t="shared" si="85"/>
        <v>4084.7387400000002</v>
      </c>
      <c r="W43" s="373">
        <f t="shared" si="51"/>
        <v>10941.704690799999</v>
      </c>
      <c r="X43" s="373">
        <f t="shared" si="52"/>
        <v>60514.648000000001</v>
      </c>
      <c r="Y43" s="376">
        <f t="shared" si="53"/>
        <v>4084.7387400000002</v>
      </c>
      <c r="Z43" s="373">
        <f t="shared" si="54"/>
        <v>10941.704690799999</v>
      </c>
      <c r="AA43" s="373">
        <f t="shared" si="55"/>
        <v>75643.31</v>
      </c>
      <c r="AB43" s="376">
        <f t="shared" si="82"/>
        <v>4084.7387400000002</v>
      </c>
      <c r="AC43" s="373">
        <f t="shared" si="74"/>
        <v>10941.704690799999</v>
      </c>
      <c r="AD43" s="373">
        <f t="shared" si="56"/>
        <v>90771.972000000009</v>
      </c>
      <c r="AE43" s="377">
        <f t="shared" si="91"/>
        <v>4306.4965000000038</v>
      </c>
      <c r="AF43" s="373">
        <f t="shared" si="76"/>
        <v>10719.946930799997</v>
      </c>
      <c r="AG43" s="373">
        <f t="shared" si="57"/>
        <v>105900.63400000001</v>
      </c>
      <c r="AH43" s="377">
        <f t="shared" si="92"/>
        <v>5516.7894599999991</v>
      </c>
      <c r="AI43" s="373">
        <f t="shared" si="58"/>
        <v>9509.6539708000018</v>
      </c>
      <c r="AJ43" s="373">
        <f t="shared" si="59"/>
        <v>121029.296</v>
      </c>
      <c r="AK43" s="377">
        <f t="shared" si="93"/>
        <v>5295.0316999999995</v>
      </c>
      <c r="AL43" s="373">
        <f t="shared" si="60"/>
        <v>9731.4117308000004</v>
      </c>
      <c r="AM43" s="373">
        <f t="shared" si="61"/>
        <v>136157.95800000001</v>
      </c>
      <c r="AN43" s="377">
        <f t="shared" si="90"/>
        <v>5295.0316999999995</v>
      </c>
      <c r="AO43" s="373">
        <f t="shared" si="62"/>
        <v>9731.4117308000004</v>
      </c>
      <c r="AP43" s="373">
        <f t="shared" si="63"/>
        <v>151286.62</v>
      </c>
      <c r="AQ43" s="377">
        <f t="shared" si="80"/>
        <v>5295.0316999999995</v>
      </c>
      <c r="AR43" s="373">
        <f t="shared" si="81"/>
        <v>9731.4117308000004</v>
      </c>
      <c r="AS43" s="373">
        <f t="shared" si="64"/>
        <v>166415.28200000001</v>
      </c>
      <c r="AT43" s="377">
        <f t="shared" si="88"/>
        <v>5295.0316999999995</v>
      </c>
      <c r="AU43" s="373">
        <f t="shared" si="66"/>
        <v>9731.4117308000004</v>
      </c>
      <c r="AV43" s="373">
        <f t="shared" si="67"/>
        <v>181543.94400000002</v>
      </c>
      <c r="AW43" s="377">
        <f t="shared" si="68"/>
        <v>5295.0316999999995</v>
      </c>
      <c r="AX43" s="373">
        <f t="shared" si="69"/>
        <v>9731.4117308000004</v>
      </c>
      <c r="AY43" s="292"/>
      <c r="BA43" s="358"/>
    </row>
    <row r="44" spans="1:53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43"/>
        <v>19984.079999999998</v>
      </c>
      <c r="G44" s="233">
        <v>359</v>
      </c>
      <c r="H44" s="353">
        <f t="shared" si="70"/>
        <v>15128.662</v>
      </c>
      <c r="I44" s="363">
        <v>0.7</v>
      </c>
      <c r="J44" s="362">
        <v>6700</v>
      </c>
      <c r="K44" s="361">
        <f t="shared" si="12"/>
        <v>10547.098584133333</v>
      </c>
      <c r="L44" s="390">
        <v>6625.3187427522671</v>
      </c>
      <c r="M44" s="390">
        <f t="shared" si="71"/>
        <v>3921.779841381066</v>
      </c>
      <c r="N44" s="372">
        <f t="shared" si="13"/>
        <v>102.2185692</v>
      </c>
      <c r="O44" s="373">
        <f t="shared" si="44"/>
        <v>15128.662</v>
      </c>
      <c r="P44" s="374">
        <f t="shared" si="45"/>
        <v>2525.7323999999999</v>
      </c>
      <c r="Q44" s="373">
        <f t="shared" si="46"/>
        <v>12500.711030800001</v>
      </c>
      <c r="R44" s="373">
        <f t="shared" si="47"/>
        <v>30257.324000000001</v>
      </c>
      <c r="S44" s="376">
        <f t="shared" si="89"/>
        <v>3393.7450800000006</v>
      </c>
      <c r="T44" s="373">
        <f t="shared" si="48"/>
        <v>11632.698350799999</v>
      </c>
      <c r="U44" s="373">
        <f t="shared" si="49"/>
        <v>45385.986000000004</v>
      </c>
      <c r="V44" s="376">
        <f t="shared" si="85"/>
        <v>4084.7387400000002</v>
      </c>
      <c r="W44" s="373">
        <f t="shared" si="51"/>
        <v>10941.704690799999</v>
      </c>
      <c r="X44" s="373">
        <f t="shared" si="52"/>
        <v>60514.648000000001</v>
      </c>
      <c r="Y44" s="376">
        <f t="shared" si="53"/>
        <v>4084.7387400000002</v>
      </c>
      <c r="Z44" s="373">
        <f t="shared" si="54"/>
        <v>10941.704690799999</v>
      </c>
      <c r="AA44" s="373">
        <f t="shared" si="55"/>
        <v>75643.31</v>
      </c>
      <c r="AB44" s="376">
        <f t="shared" si="82"/>
        <v>4084.7387400000002</v>
      </c>
      <c r="AC44" s="373">
        <f t="shared" si="74"/>
        <v>10941.704690799999</v>
      </c>
      <c r="AD44" s="373">
        <f t="shared" si="56"/>
        <v>90771.972000000009</v>
      </c>
      <c r="AE44" s="377">
        <f t="shared" si="91"/>
        <v>4306.4965000000038</v>
      </c>
      <c r="AF44" s="373">
        <f t="shared" si="76"/>
        <v>10719.946930799997</v>
      </c>
      <c r="AG44" s="373">
        <f t="shared" si="57"/>
        <v>105900.63400000001</v>
      </c>
      <c r="AH44" s="377">
        <f t="shared" si="92"/>
        <v>5516.7894599999991</v>
      </c>
      <c r="AI44" s="373">
        <f t="shared" si="58"/>
        <v>9509.6539708000018</v>
      </c>
      <c r="AJ44" s="373">
        <f t="shared" si="59"/>
        <v>121029.296</v>
      </c>
      <c r="AK44" s="377">
        <f t="shared" si="93"/>
        <v>5295.0316999999995</v>
      </c>
      <c r="AL44" s="373">
        <f t="shared" si="60"/>
        <v>9731.4117308000004</v>
      </c>
      <c r="AM44" s="373">
        <f t="shared" si="61"/>
        <v>136157.95800000001</v>
      </c>
      <c r="AN44" s="377">
        <f t="shared" si="90"/>
        <v>5295.0316999999995</v>
      </c>
      <c r="AO44" s="373">
        <f t="shared" si="62"/>
        <v>9731.4117308000004</v>
      </c>
      <c r="AP44" s="373">
        <f t="shared" si="63"/>
        <v>151286.62</v>
      </c>
      <c r="AQ44" s="377">
        <f t="shared" si="80"/>
        <v>5295.0316999999995</v>
      </c>
      <c r="AR44" s="373">
        <f t="shared" si="81"/>
        <v>9731.4117308000004</v>
      </c>
      <c r="AS44" s="373">
        <f t="shared" si="64"/>
        <v>166415.28200000001</v>
      </c>
      <c r="AT44" s="377">
        <f t="shared" si="88"/>
        <v>5295.0316999999995</v>
      </c>
      <c r="AU44" s="373">
        <f t="shared" si="66"/>
        <v>9731.4117308000004</v>
      </c>
      <c r="AV44" s="373">
        <f t="shared" si="67"/>
        <v>181543.94400000002</v>
      </c>
      <c r="AW44" s="377">
        <f t="shared" si="68"/>
        <v>5295.0316999999995</v>
      </c>
      <c r="AX44" s="373">
        <f t="shared" si="69"/>
        <v>9731.4117308000004</v>
      </c>
      <c r="AY44" s="292"/>
      <c r="BA44" s="358"/>
    </row>
    <row r="45" spans="1:53" ht="28.5" x14ac:dyDescent="0.45">
      <c r="A45" s="716"/>
      <c r="B45" s="478" t="s">
        <v>226</v>
      </c>
      <c r="C45" s="479">
        <v>200</v>
      </c>
      <c r="D45" s="239">
        <v>4996.0199999999995</v>
      </c>
      <c r="E45" s="239">
        <v>6661.36</v>
      </c>
      <c r="F45" s="239">
        <f t="shared" si="43"/>
        <v>11657.38</v>
      </c>
      <c r="G45" s="480">
        <v>359</v>
      </c>
      <c r="H45" s="481">
        <f t="shared" si="70"/>
        <v>9299.9719999999979</v>
      </c>
      <c r="I45" s="363">
        <v>0.7</v>
      </c>
      <c r="J45" s="482">
        <v>6800</v>
      </c>
      <c r="K45" s="483">
        <f t="shared" si="12"/>
        <v>6815.3992514666679</v>
      </c>
      <c r="L45" s="484">
        <v>6756.2535689354663</v>
      </c>
      <c r="M45" s="484">
        <f t="shared" si="71"/>
        <v>59.145682531201601</v>
      </c>
      <c r="N45" s="372">
        <f t="shared" si="13"/>
        <v>63.749215199999988</v>
      </c>
      <c r="O45" s="373">
        <f t="shared" si="44"/>
        <v>9299.9719999999979</v>
      </c>
      <c r="P45" s="378">
        <f t="shared" ref="P45:P54" si="94">O45*0.15</f>
        <v>1394.9957999999997</v>
      </c>
      <c r="Q45" s="373">
        <f t="shared" si="46"/>
        <v>7841.2269847999987</v>
      </c>
      <c r="R45" s="373">
        <f t="shared" si="47"/>
        <v>18599.943999999996</v>
      </c>
      <c r="S45" s="374">
        <f t="shared" ref="S45:S51" si="95">(R45-10000)*0.2+(10000-O45)*0.15</f>
        <v>1824.9929999999995</v>
      </c>
      <c r="T45" s="373">
        <f t="shared" si="48"/>
        <v>7411.2297847999989</v>
      </c>
      <c r="U45" s="373">
        <f t="shared" si="49"/>
        <v>27899.915999999994</v>
      </c>
      <c r="V45" s="376">
        <f t="shared" ref="V45:V46" si="96">(U45-25000)*0.27+(25000-R45)*0.2</f>
        <v>2062.988519999999</v>
      </c>
      <c r="W45" s="373">
        <f t="shared" si="51"/>
        <v>7173.2342647999994</v>
      </c>
      <c r="X45" s="373">
        <f t="shared" si="52"/>
        <v>37199.887999999992</v>
      </c>
      <c r="Y45" s="376">
        <f t="shared" si="53"/>
        <v>2510.9924399999995</v>
      </c>
      <c r="Z45" s="373">
        <f t="shared" si="54"/>
        <v>6725.2303447999984</v>
      </c>
      <c r="AA45" s="373">
        <f t="shared" si="55"/>
        <v>46499.859999999986</v>
      </c>
      <c r="AB45" s="376">
        <f t="shared" si="82"/>
        <v>2510.9924399999995</v>
      </c>
      <c r="AC45" s="373">
        <f t="shared" si="74"/>
        <v>6725.2303447999984</v>
      </c>
      <c r="AD45" s="373">
        <f t="shared" si="56"/>
        <v>55799.831999999988</v>
      </c>
      <c r="AE45" s="376">
        <f t="shared" ref="AE45:AE52" si="97">H45*0.27</f>
        <v>2510.9924399999995</v>
      </c>
      <c r="AF45" s="373">
        <f t="shared" si="76"/>
        <v>6725.2303447999984</v>
      </c>
      <c r="AG45" s="373">
        <f t="shared" si="57"/>
        <v>65099.803999999989</v>
      </c>
      <c r="AH45" s="376">
        <f t="shared" ref="AH45:AH52" si="98">H45*0.27</f>
        <v>2510.9924399999995</v>
      </c>
      <c r="AI45" s="373">
        <f t="shared" si="58"/>
        <v>6725.2303447999984</v>
      </c>
      <c r="AJ45" s="373">
        <f t="shared" si="59"/>
        <v>74399.775999999983</v>
      </c>
      <c r="AK45" s="376">
        <f t="shared" ref="AK45:AK54" si="99">H45*0.27</f>
        <v>2510.9924399999995</v>
      </c>
      <c r="AL45" s="373">
        <f t="shared" si="60"/>
        <v>6725.2303447999984</v>
      </c>
      <c r="AM45" s="373">
        <f t="shared" si="61"/>
        <v>83699.747999999978</v>
      </c>
      <c r="AN45" s="376">
        <f>H45*0.27</f>
        <v>2510.9924399999995</v>
      </c>
      <c r="AO45" s="373">
        <f t="shared" si="62"/>
        <v>6725.2303447999984</v>
      </c>
      <c r="AP45" s="373">
        <f t="shared" si="63"/>
        <v>92999.719999999972</v>
      </c>
      <c r="AQ45" s="377">
        <f>(AP45-88000)*0.35+(88000-AM45)*0.27</f>
        <v>2910.9700399999961</v>
      </c>
      <c r="AR45" s="373">
        <f t="shared" si="81"/>
        <v>6325.2527448000019</v>
      </c>
      <c r="AS45" s="373">
        <f t="shared" si="64"/>
        <v>102299.69199999998</v>
      </c>
      <c r="AT45" s="377">
        <f t="shared" ref="AT45:AT46" si="100">H45*0.35</f>
        <v>3254.9901999999993</v>
      </c>
      <c r="AU45" s="373">
        <f t="shared" si="66"/>
        <v>5981.2325847999991</v>
      </c>
      <c r="AV45" s="373">
        <f t="shared" si="67"/>
        <v>111599.66399999998</v>
      </c>
      <c r="AW45" s="377">
        <f t="shared" si="68"/>
        <v>3254.9901999999993</v>
      </c>
      <c r="AX45" s="373">
        <f t="shared" si="69"/>
        <v>5981.2325847999991</v>
      </c>
      <c r="AY45" s="292"/>
      <c r="BA45" s="358"/>
    </row>
    <row r="46" spans="1:53" ht="28.5" x14ac:dyDescent="0.45">
      <c r="A46" s="716"/>
      <c r="B46" s="461" t="s">
        <v>227</v>
      </c>
      <c r="C46" s="231">
        <v>200</v>
      </c>
      <c r="D46" s="234">
        <v>4996.0199999999995</v>
      </c>
      <c r="E46" s="234">
        <v>6661.36</v>
      </c>
      <c r="F46" s="234">
        <f t="shared" si="43"/>
        <v>11657.38</v>
      </c>
      <c r="G46" s="233">
        <v>359</v>
      </c>
      <c r="H46" s="353">
        <f t="shared" si="70"/>
        <v>9299.9719999999979</v>
      </c>
      <c r="I46" s="363">
        <v>0.7</v>
      </c>
      <c r="J46" s="362">
        <v>6000</v>
      </c>
      <c r="K46" s="361">
        <f t="shared" si="12"/>
        <v>6815.3992514666679</v>
      </c>
      <c r="L46" s="390">
        <v>6025.1402412746656</v>
      </c>
      <c r="M46" s="390">
        <f t="shared" si="71"/>
        <v>790.25901019200228</v>
      </c>
      <c r="N46" s="372">
        <f t="shared" si="13"/>
        <v>63.749215199999988</v>
      </c>
      <c r="O46" s="373">
        <f t="shared" si="44"/>
        <v>9299.9719999999979</v>
      </c>
      <c r="P46" s="378">
        <f t="shared" si="94"/>
        <v>1394.9957999999997</v>
      </c>
      <c r="Q46" s="373">
        <f t="shared" si="46"/>
        <v>7841.2269847999987</v>
      </c>
      <c r="R46" s="373">
        <f t="shared" si="47"/>
        <v>18599.943999999996</v>
      </c>
      <c r="S46" s="374">
        <f t="shared" si="95"/>
        <v>1824.9929999999995</v>
      </c>
      <c r="T46" s="373">
        <f t="shared" si="48"/>
        <v>7411.2297847999989</v>
      </c>
      <c r="U46" s="373">
        <f t="shared" si="49"/>
        <v>27899.915999999994</v>
      </c>
      <c r="V46" s="376">
        <f t="shared" si="96"/>
        <v>2062.988519999999</v>
      </c>
      <c r="W46" s="373">
        <f t="shared" si="51"/>
        <v>7173.2342647999994</v>
      </c>
      <c r="X46" s="373">
        <f t="shared" si="52"/>
        <v>37199.887999999992</v>
      </c>
      <c r="Y46" s="376">
        <f t="shared" si="53"/>
        <v>2510.9924399999995</v>
      </c>
      <c r="Z46" s="373">
        <f t="shared" si="54"/>
        <v>6725.2303447999984</v>
      </c>
      <c r="AA46" s="373">
        <f t="shared" si="55"/>
        <v>46499.859999999986</v>
      </c>
      <c r="AB46" s="376">
        <f t="shared" si="82"/>
        <v>2510.9924399999995</v>
      </c>
      <c r="AC46" s="373">
        <f t="shared" si="74"/>
        <v>6725.2303447999984</v>
      </c>
      <c r="AD46" s="373">
        <f t="shared" si="56"/>
        <v>55799.831999999988</v>
      </c>
      <c r="AE46" s="376">
        <f t="shared" si="97"/>
        <v>2510.9924399999995</v>
      </c>
      <c r="AF46" s="373">
        <f t="shared" si="76"/>
        <v>6725.2303447999984</v>
      </c>
      <c r="AG46" s="373">
        <f t="shared" si="57"/>
        <v>65099.803999999989</v>
      </c>
      <c r="AH46" s="376">
        <f t="shared" si="98"/>
        <v>2510.9924399999995</v>
      </c>
      <c r="AI46" s="373">
        <f t="shared" si="58"/>
        <v>6725.2303447999984</v>
      </c>
      <c r="AJ46" s="373">
        <f t="shared" si="59"/>
        <v>74399.775999999983</v>
      </c>
      <c r="AK46" s="376">
        <f t="shared" si="99"/>
        <v>2510.9924399999995</v>
      </c>
      <c r="AL46" s="373">
        <f t="shared" si="60"/>
        <v>6725.2303447999984</v>
      </c>
      <c r="AM46" s="373">
        <f t="shared" si="61"/>
        <v>83699.747999999978</v>
      </c>
      <c r="AN46" s="376">
        <f>H46*0.27</f>
        <v>2510.9924399999995</v>
      </c>
      <c r="AO46" s="373">
        <f t="shared" si="62"/>
        <v>6725.2303447999984</v>
      </c>
      <c r="AP46" s="373">
        <f t="shared" si="63"/>
        <v>92999.719999999972</v>
      </c>
      <c r="AQ46" s="377">
        <f>(AP46-88000)*0.35+(88000-AM46)*0.27</f>
        <v>2910.9700399999961</v>
      </c>
      <c r="AR46" s="373">
        <f t="shared" si="81"/>
        <v>6325.2527448000019</v>
      </c>
      <c r="AS46" s="373">
        <f t="shared" si="64"/>
        <v>102299.69199999998</v>
      </c>
      <c r="AT46" s="377">
        <f t="shared" si="100"/>
        <v>3254.9901999999993</v>
      </c>
      <c r="AU46" s="373">
        <f t="shared" si="66"/>
        <v>5981.2325847999991</v>
      </c>
      <c r="AV46" s="373">
        <f t="shared" si="67"/>
        <v>111599.66399999998</v>
      </c>
      <c r="AW46" s="377">
        <f t="shared" si="68"/>
        <v>3254.9901999999993</v>
      </c>
      <c r="AX46" s="373">
        <f t="shared" si="69"/>
        <v>5981.2325847999991</v>
      </c>
      <c r="AY46" s="292"/>
      <c r="BA46" s="358"/>
    </row>
    <row r="47" spans="1:53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43"/>
        <v>13988.856</v>
      </c>
      <c r="G47" s="233">
        <v>359</v>
      </c>
      <c r="H47" s="353">
        <f t="shared" si="70"/>
        <v>10932.0052</v>
      </c>
      <c r="I47" s="363">
        <v>0.7</v>
      </c>
      <c r="J47" s="362">
        <v>7351</v>
      </c>
      <c r="K47" s="361">
        <f t="shared" si="12"/>
        <v>7861.5660573466666</v>
      </c>
      <c r="L47" s="390">
        <v>7187.3313043693861</v>
      </c>
      <c r="M47" s="390">
        <f t="shared" si="71"/>
        <v>674.23475297728055</v>
      </c>
      <c r="N47" s="372">
        <f t="shared" si="13"/>
        <v>74.520634319999999</v>
      </c>
      <c r="O47" s="373">
        <f t="shared" si="44"/>
        <v>10932.0052</v>
      </c>
      <c r="P47" s="374">
        <f t="shared" ref="P47:P48" si="101">(O47-10000)*0.2+10000*0.15</f>
        <v>1686.40104</v>
      </c>
      <c r="Q47" s="373">
        <f t="shared" si="46"/>
        <v>9171.0835256799983</v>
      </c>
      <c r="R47" s="373">
        <f t="shared" si="47"/>
        <v>21864.010399999999</v>
      </c>
      <c r="S47" s="374">
        <f t="shared" si="95"/>
        <v>2233.0012999999999</v>
      </c>
      <c r="T47" s="373">
        <f t="shared" si="48"/>
        <v>8624.483265679999</v>
      </c>
      <c r="U47" s="373">
        <f t="shared" si="49"/>
        <v>32796.015599999999</v>
      </c>
      <c r="V47" s="376">
        <f>(U47-25000)*0.27+(25000-R47)*0.2</f>
        <v>2732.122132</v>
      </c>
      <c r="W47" s="373">
        <f t="shared" si="51"/>
        <v>8125.3624336799985</v>
      </c>
      <c r="X47" s="373">
        <f t="shared" si="52"/>
        <v>43728.020799999998</v>
      </c>
      <c r="Y47" s="376">
        <f t="shared" si="53"/>
        <v>2951.641404</v>
      </c>
      <c r="Z47" s="373">
        <f t="shared" si="54"/>
        <v>7905.843161679999</v>
      </c>
      <c r="AA47" s="373">
        <f t="shared" si="55"/>
        <v>54660.025999999998</v>
      </c>
      <c r="AB47" s="376">
        <f t="shared" si="82"/>
        <v>2951.641404</v>
      </c>
      <c r="AC47" s="373">
        <f t="shared" si="74"/>
        <v>7905.843161679999</v>
      </c>
      <c r="AD47" s="373">
        <f t="shared" si="56"/>
        <v>65592.031199999998</v>
      </c>
      <c r="AE47" s="376">
        <f t="shared" si="97"/>
        <v>2951.641404</v>
      </c>
      <c r="AF47" s="373">
        <f t="shared" si="76"/>
        <v>7905.843161679999</v>
      </c>
      <c r="AG47" s="373">
        <f t="shared" si="57"/>
        <v>76524.036399999997</v>
      </c>
      <c r="AH47" s="376">
        <f t="shared" si="98"/>
        <v>2951.641404</v>
      </c>
      <c r="AI47" s="373">
        <f t="shared" si="58"/>
        <v>7905.843161679999</v>
      </c>
      <c r="AJ47" s="373">
        <f t="shared" si="59"/>
        <v>87456.041599999997</v>
      </c>
      <c r="AK47" s="376">
        <f t="shared" si="99"/>
        <v>2951.641404</v>
      </c>
      <c r="AL47" s="373">
        <f t="shared" si="60"/>
        <v>7905.843161679999</v>
      </c>
      <c r="AM47" s="373">
        <f t="shared" si="61"/>
        <v>98388.046799999996</v>
      </c>
      <c r="AN47" s="377">
        <f>(AM47-88000)*0.35+(88000-AJ47)*0.27</f>
        <v>3782.6851479999991</v>
      </c>
      <c r="AO47" s="373">
        <f t="shared" si="62"/>
        <v>7074.7994176800003</v>
      </c>
      <c r="AP47" s="373">
        <f t="shared" si="63"/>
        <v>109320.052</v>
      </c>
      <c r="AQ47" s="377">
        <f>H47*0.35</f>
        <v>3826.2018199999998</v>
      </c>
      <c r="AR47" s="373">
        <f t="shared" si="81"/>
        <v>7031.2827456799987</v>
      </c>
      <c r="AS47" s="373">
        <f t="shared" si="64"/>
        <v>120252.0572</v>
      </c>
      <c r="AT47" s="377">
        <f>H47*0.35</f>
        <v>3826.2018199999998</v>
      </c>
      <c r="AU47" s="373">
        <f t="shared" si="66"/>
        <v>7031.2827456799987</v>
      </c>
      <c r="AV47" s="373">
        <f t="shared" si="67"/>
        <v>131184.0624</v>
      </c>
      <c r="AW47" s="377">
        <f t="shared" si="68"/>
        <v>3826.2018199999998</v>
      </c>
      <c r="AX47" s="373">
        <f t="shared" si="69"/>
        <v>7031.2827456799987</v>
      </c>
      <c r="AY47" s="292"/>
      <c r="BA47" s="358"/>
    </row>
    <row r="48" spans="1:53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43"/>
        <v>13988.856</v>
      </c>
      <c r="G48" s="233">
        <v>359</v>
      </c>
      <c r="H48" s="353">
        <f t="shared" si="70"/>
        <v>10932.0052</v>
      </c>
      <c r="I48" s="363">
        <v>0.7</v>
      </c>
      <c r="J48" s="362">
        <v>6000</v>
      </c>
      <c r="K48" s="361">
        <f t="shared" si="12"/>
        <v>7861.5660573466666</v>
      </c>
      <c r="L48" s="390">
        <v>5990.7884312490669</v>
      </c>
      <c r="M48" s="390">
        <f t="shared" si="71"/>
        <v>1870.7776260975998</v>
      </c>
      <c r="N48" s="372">
        <f t="shared" si="13"/>
        <v>74.520634319999999</v>
      </c>
      <c r="O48" s="373">
        <f t="shared" si="44"/>
        <v>10932.0052</v>
      </c>
      <c r="P48" s="374">
        <f t="shared" si="101"/>
        <v>1686.40104</v>
      </c>
      <c r="Q48" s="373">
        <f t="shared" si="46"/>
        <v>9171.0835256799983</v>
      </c>
      <c r="R48" s="373">
        <f t="shared" si="47"/>
        <v>21864.010399999999</v>
      </c>
      <c r="S48" s="374">
        <f t="shared" si="95"/>
        <v>2233.0012999999999</v>
      </c>
      <c r="T48" s="373">
        <f t="shared" si="48"/>
        <v>8624.483265679999</v>
      </c>
      <c r="U48" s="373">
        <f t="shared" si="49"/>
        <v>32796.015599999999</v>
      </c>
      <c r="V48" s="376">
        <f>(U48-25000)*0.27+(25000-R48)*0.2</f>
        <v>2732.122132</v>
      </c>
      <c r="W48" s="373">
        <f t="shared" si="51"/>
        <v>8125.3624336799985</v>
      </c>
      <c r="X48" s="373">
        <f t="shared" si="52"/>
        <v>43728.020799999998</v>
      </c>
      <c r="Y48" s="376">
        <f t="shared" si="53"/>
        <v>2951.641404</v>
      </c>
      <c r="Z48" s="373">
        <f t="shared" si="54"/>
        <v>7905.843161679999</v>
      </c>
      <c r="AA48" s="373">
        <f t="shared" si="55"/>
        <v>54660.025999999998</v>
      </c>
      <c r="AB48" s="376">
        <f t="shared" si="82"/>
        <v>2951.641404</v>
      </c>
      <c r="AC48" s="373">
        <f t="shared" si="74"/>
        <v>7905.843161679999</v>
      </c>
      <c r="AD48" s="373">
        <f t="shared" si="56"/>
        <v>65592.031199999998</v>
      </c>
      <c r="AE48" s="376">
        <f t="shared" si="97"/>
        <v>2951.641404</v>
      </c>
      <c r="AF48" s="373">
        <f t="shared" si="76"/>
        <v>7905.843161679999</v>
      </c>
      <c r="AG48" s="373">
        <f t="shared" si="57"/>
        <v>76524.036399999997</v>
      </c>
      <c r="AH48" s="376">
        <f t="shared" si="98"/>
        <v>2951.641404</v>
      </c>
      <c r="AI48" s="373">
        <f t="shared" si="58"/>
        <v>7905.843161679999</v>
      </c>
      <c r="AJ48" s="373">
        <f t="shared" si="59"/>
        <v>87456.041599999997</v>
      </c>
      <c r="AK48" s="376">
        <f t="shared" si="99"/>
        <v>2951.641404</v>
      </c>
      <c r="AL48" s="373">
        <f t="shared" si="60"/>
        <v>7905.843161679999</v>
      </c>
      <c r="AM48" s="373">
        <f t="shared" si="61"/>
        <v>98388.046799999996</v>
      </c>
      <c r="AN48" s="377">
        <f>(AM48-88000)*0.35+(88000-AJ48)*0.27</f>
        <v>3782.6851479999991</v>
      </c>
      <c r="AO48" s="373">
        <f t="shared" si="62"/>
        <v>7074.7994176800003</v>
      </c>
      <c r="AP48" s="373">
        <f t="shared" si="63"/>
        <v>109320.052</v>
      </c>
      <c r="AQ48" s="377">
        <f>H48*0.35</f>
        <v>3826.2018199999998</v>
      </c>
      <c r="AR48" s="373">
        <f t="shared" si="81"/>
        <v>7031.2827456799987</v>
      </c>
      <c r="AS48" s="373">
        <f t="shared" si="64"/>
        <v>120252.0572</v>
      </c>
      <c r="AT48" s="377">
        <f>H48*0.35</f>
        <v>3826.2018199999998</v>
      </c>
      <c r="AU48" s="373">
        <f t="shared" si="66"/>
        <v>7031.2827456799987</v>
      </c>
      <c r="AV48" s="373">
        <f t="shared" si="67"/>
        <v>131184.0624</v>
      </c>
      <c r="AW48" s="377">
        <f>H48*0.35</f>
        <v>3826.2018199999998</v>
      </c>
      <c r="AX48" s="373">
        <f t="shared" si="69"/>
        <v>7031.2827456799987</v>
      </c>
      <c r="AY48" s="292"/>
      <c r="BA48" s="358"/>
    </row>
    <row r="49" spans="1:53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43"/>
        <v>10991.243999999999</v>
      </c>
      <c r="G49" s="233">
        <v>359</v>
      </c>
      <c r="H49" s="353">
        <f t="shared" si="70"/>
        <v>8833.6767999999993</v>
      </c>
      <c r="I49" s="363">
        <v>0.7</v>
      </c>
      <c r="J49" s="362">
        <v>6100</v>
      </c>
      <c r="K49" s="361">
        <f t="shared" si="12"/>
        <v>6513.1397997866661</v>
      </c>
      <c r="L49" s="390">
        <v>6063.3061811351463</v>
      </c>
      <c r="M49" s="390">
        <f t="shared" si="71"/>
        <v>449.83361865151983</v>
      </c>
      <c r="N49" s="372">
        <f t="shared" si="13"/>
        <v>60.671666879999997</v>
      </c>
      <c r="O49" s="373">
        <f t="shared" si="44"/>
        <v>8833.6767999999993</v>
      </c>
      <c r="P49" s="378">
        <f t="shared" si="94"/>
        <v>1325.0515199999998</v>
      </c>
      <c r="Q49" s="373">
        <f t="shared" si="46"/>
        <v>7447.9536131199993</v>
      </c>
      <c r="R49" s="373">
        <f t="shared" si="47"/>
        <v>17667.353599999999</v>
      </c>
      <c r="S49" s="374">
        <f t="shared" si="95"/>
        <v>1708.4191999999998</v>
      </c>
      <c r="T49" s="373">
        <f t="shared" si="48"/>
        <v>7064.585933119999</v>
      </c>
      <c r="U49" s="373">
        <f t="shared" si="49"/>
        <v>26501.030399999996</v>
      </c>
      <c r="V49" s="376">
        <f t="shared" ref="V49:V51" si="102">(U49-25000)*0.27+(25000-R49)*0.2</f>
        <v>1871.8074879999995</v>
      </c>
      <c r="W49" s="373">
        <f t="shared" si="51"/>
        <v>6901.1976451199998</v>
      </c>
      <c r="X49" s="373">
        <f t="shared" si="52"/>
        <v>35334.707199999997</v>
      </c>
      <c r="Y49" s="376">
        <f t="shared" si="53"/>
        <v>2385.0927360000001</v>
      </c>
      <c r="Z49" s="373">
        <f t="shared" si="54"/>
        <v>6387.9123971199988</v>
      </c>
      <c r="AA49" s="373">
        <f t="shared" si="55"/>
        <v>44168.383999999998</v>
      </c>
      <c r="AB49" s="376">
        <f t="shared" si="82"/>
        <v>2385.0927360000001</v>
      </c>
      <c r="AC49" s="373">
        <f t="shared" si="74"/>
        <v>6387.9123971199988</v>
      </c>
      <c r="AD49" s="373">
        <f t="shared" si="56"/>
        <v>53002.060799999992</v>
      </c>
      <c r="AE49" s="376">
        <f t="shared" si="97"/>
        <v>2385.0927360000001</v>
      </c>
      <c r="AF49" s="373">
        <f t="shared" si="76"/>
        <v>6387.9123971199988</v>
      </c>
      <c r="AG49" s="373">
        <f t="shared" si="57"/>
        <v>61835.737599999993</v>
      </c>
      <c r="AH49" s="376">
        <f t="shared" si="98"/>
        <v>2385.0927360000001</v>
      </c>
      <c r="AI49" s="373">
        <f t="shared" si="58"/>
        <v>6387.9123971199988</v>
      </c>
      <c r="AJ49" s="373">
        <f t="shared" si="59"/>
        <v>70669.414399999994</v>
      </c>
      <c r="AK49" s="376">
        <f t="shared" si="99"/>
        <v>2385.0927360000001</v>
      </c>
      <c r="AL49" s="373">
        <f t="shared" si="60"/>
        <v>6387.9123971199988</v>
      </c>
      <c r="AM49" s="373">
        <f t="shared" si="61"/>
        <v>79503.091199999995</v>
      </c>
      <c r="AN49" s="376">
        <f t="shared" ref="AN49:AN54" si="103">H49*0.27</f>
        <v>2385.0927360000001</v>
      </c>
      <c r="AO49" s="373">
        <f t="shared" si="62"/>
        <v>6387.9123971199988</v>
      </c>
      <c r="AP49" s="373">
        <f t="shared" si="63"/>
        <v>88336.767999999996</v>
      </c>
      <c r="AQ49" s="377">
        <f t="shared" ref="AQ49:AQ51" si="104">(AP49-88000)*0.35+(88000-AM49)*0.27</f>
        <v>2412.0341760000001</v>
      </c>
      <c r="AR49" s="373">
        <f t="shared" si="81"/>
        <v>6360.9709571199992</v>
      </c>
      <c r="AS49" s="373">
        <f t="shared" si="64"/>
        <v>97170.444799999997</v>
      </c>
      <c r="AT49" s="377">
        <f>(AS49-88000)*0.35+(88000-AP49)*0.27</f>
        <v>3118.7283199999997</v>
      </c>
      <c r="AU49" s="373">
        <f t="shared" si="66"/>
        <v>5654.2768131199991</v>
      </c>
      <c r="AV49" s="373">
        <f t="shared" si="67"/>
        <v>106004.12159999998</v>
      </c>
      <c r="AW49" s="377">
        <f>H49*0.35</f>
        <v>3091.7868799999997</v>
      </c>
      <c r="AX49" s="373">
        <f t="shared" si="69"/>
        <v>5681.2182531199996</v>
      </c>
      <c r="AY49" s="292"/>
      <c r="BA49" s="358"/>
    </row>
    <row r="50" spans="1:53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43"/>
        <v>10991.243999999999</v>
      </c>
      <c r="G50" s="233">
        <v>359</v>
      </c>
      <c r="H50" s="353">
        <f t="shared" si="70"/>
        <v>8833.6767999999993</v>
      </c>
      <c r="I50" s="363">
        <v>0.7</v>
      </c>
      <c r="J50" s="362">
        <v>5400</v>
      </c>
      <c r="K50" s="361">
        <f t="shared" si="12"/>
        <v>6513.1397997866661</v>
      </c>
      <c r="L50" s="390">
        <v>5393.3113372057587</v>
      </c>
      <c r="M50" s="390">
        <f t="shared" si="71"/>
        <v>1119.8284625809074</v>
      </c>
      <c r="N50" s="372">
        <f t="shared" si="13"/>
        <v>60.671666879999997</v>
      </c>
      <c r="O50" s="373">
        <f t="shared" si="44"/>
        <v>8833.6767999999993</v>
      </c>
      <c r="P50" s="378">
        <f t="shared" si="94"/>
        <v>1325.0515199999998</v>
      </c>
      <c r="Q50" s="373">
        <f t="shared" si="46"/>
        <v>7447.9536131199993</v>
      </c>
      <c r="R50" s="373">
        <f t="shared" si="47"/>
        <v>17667.353599999999</v>
      </c>
      <c r="S50" s="374">
        <f t="shared" si="95"/>
        <v>1708.4191999999998</v>
      </c>
      <c r="T50" s="373">
        <f t="shared" si="48"/>
        <v>7064.585933119999</v>
      </c>
      <c r="U50" s="373">
        <f t="shared" si="49"/>
        <v>26501.030399999996</v>
      </c>
      <c r="V50" s="376">
        <f t="shared" si="102"/>
        <v>1871.8074879999995</v>
      </c>
      <c r="W50" s="373">
        <f t="shared" si="51"/>
        <v>6901.1976451199998</v>
      </c>
      <c r="X50" s="373">
        <f t="shared" si="52"/>
        <v>35334.707199999997</v>
      </c>
      <c r="Y50" s="376">
        <f t="shared" si="53"/>
        <v>2385.0927360000001</v>
      </c>
      <c r="Z50" s="373">
        <f t="shared" si="54"/>
        <v>6387.9123971199988</v>
      </c>
      <c r="AA50" s="373">
        <f t="shared" si="55"/>
        <v>44168.383999999998</v>
      </c>
      <c r="AB50" s="376">
        <f t="shared" si="82"/>
        <v>2385.0927360000001</v>
      </c>
      <c r="AC50" s="373">
        <f t="shared" si="74"/>
        <v>6387.9123971199988</v>
      </c>
      <c r="AD50" s="373">
        <f t="shared" si="56"/>
        <v>53002.060799999992</v>
      </c>
      <c r="AE50" s="376">
        <f t="shared" si="97"/>
        <v>2385.0927360000001</v>
      </c>
      <c r="AF50" s="373">
        <f t="shared" si="76"/>
        <v>6387.9123971199988</v>
      </c>
      <c r="AG50" s="373">
        <f t="shared" si="57"/>
        <v>61835.737599999993</v>
      </c>
      <c r="AH50" s="376">
        <f t="shared" si="98"/>
        <v>2385.0927360000001</v>
      </c>
      <c r="AI50" s="373">
        <f t="shared" si="58"/>
        <v>6387.9123971199988</v>
      </c>
      <c r="AJ50" s="373">
        <f t="shared" si="59"/>
        <v>70669.414399999994</v>
      </c>
      <c r="AK50" s="376">
        <f t="shared" si="99"/>
        <v>2385.0927360000001</v>
      </c>
      <c r="AL50" s="373">
        <f t="shared" si="60"/>
        <v>6387.9123971199988</v>
      </c>
      <c r="AM50" s="373">
        <f t="shared" si="61"/>
        <v>79503.091199999995</v>
      </c>
      <c r="AN50" s="376">
        <f t="shared" si="103"/>
        <v>2385.0927360000001</v>
      </c>
      <c r="AO50" s="373">
        <f t="shared" si="62"/>
        <v>6387.9123971199988</v>
      </c>
      <c r="AP50" s="373">
        <f t="shared" si="63"/>
        <v>88336.767999999996</v>
      </c>
      <c r="AQ50" s="377">
        <f t="shared" si="104"/>
        <v>2412.0341760000001</v>
      </c>
      <c r="AR50" s="373">
        <f t="shared" si="81"/>
        <v>6360.9709571199992</v>
      </c>
      <c r="AS50" s="373">
        <f t="shared" si="64"/>
        <v>97170.444799999997</v>
      </c>
      <c r="AT50" s="377">
        <f t="shared" ref="AT50:AT51" si="105">(AS50-88000)*0.35+(88000-AP50)*0.27</f>
        <v>3118.7283199999997</v>
      </c>
      <c r="AU50" s="373">
        <f t="shared" si="66"/>
        <v>5654.2768131199991</v>
      </c>
      <c r="AV50" s="373">
        <f t="shared" si="67"/>
        <v>106004.12159999998</v>
      </c>
      <c r="AW50" s="377">
        <f t="shared" ref="AW50:AW51" si="106">H50*0.35</f>
        <v>3091.7868799999997</v>
      </c>
      <c r="AX50" s="373">
        <f t="shared" si="69"/>
        <v>5681.2182531199996</v>
      </c>
      <c r="AY50" s="292"/>
      <c r="BA50" s="358"/>
    </row>
    <row r="51" spans="1:53" ht="28.5" x14ac:dyDescent="0.45">
      <c r="A51" s="718"/>
      <c r="B51" s="394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43"/>
        <v>10991.243999999999</v>
      </c>
      <c r="G51" s="233">
        <v>359</v>
      </c>
      <c r="H51" s="353">
        <f t="shared" si="70"/>
        <v>8833.6767999999993</v>
      </c>
      <c r="I51" s="363">
        <v>0.7</v>
      </c>
      <c r="J51" s="362">
        <v>3900</v>
      </c>
      <c r="K51" s="361">
        <f t="shared" si="12"/>
        <v>6513.1397997866661</v>
      </c>
      <c r="L51" s="390">
        <v>4007.2237019103995</v>
      </c>
      <c r="M51" s="390">
        <f t="shared" si="71"/>
        <v>2505.9160978762666</v>
      </c>
      <c r="N51" s="372">
        <f t="shared" si="13"/>
        <v>60.671666879999997</v>
      </c>
      <c r="O51" s="373">
        <f t="shared" si="44"/>
        <v>8833.6767999999993</v>
      </c>
      <c r="P51" s="378">
        <f t="shared" si="94"/>
        <v>1325.0515199999998</v>
      </c>
      <c r="Q51" s="373">
        <f t="shared" si="46"/>
        <v>7447.9536131199993</v>
      </c>
      <c r="R51" s="373">
        <f t="shared" si="47"/>
        <v>17667.353599999999</v>
      </c>
      <c r="S51" s="374">
        <f t="shared" si="95"/>
        <v>1708.4191999999998</v>
      </c>
      <c r="T51" s="373">
        <f t="shared" si="48"/>
        <v>7064.585933119999</v>
      </c>
      <c r="U51" s="373">
        <f t="shared" si="49"/>
        <v>26501.030399999996</v>
      </c>
      <c r="V51" s="376">
        <f t="shared" si="102"/>
        <v>1871.8074879999995</v>
      </c>
      <c r="W51" s="373">
        <f t="shared" si="51"/>
        <v>6901.1976451199998</v>
      </c>
      <c r="X51" s="373">
        <f t="shared" si="52"/>
        <v>35334.707199999997</v>
      </c>
      <c r="Y51" s="376">
        <f t="shared" si="53"/>
        <v>2385.0927360000001</v>
      </c>
      <c r="Z51" s="373">
        <f t="shared" si="54"/>
        <v>6387.9123971199988</v>
      </c>
      <c r="AA51" s="373">
        <f t="shared" si="55"/>
        <v>44168.383999999998</v>
      </c>
      <c r="AB51" s="376">
        <f t="shared" si="82"/>
        <v>2385.0927360000001</v>
      </c>
      <c r="AC51" s="373">
        <f t="shared" si="74"/>
        <v>6387.9123971199988</v>
      </c>
      <c r="AD51" s="373">
        <f t="shared" si="56"/>
        <v>53002.060799999992</v>
      </c>
      <c r="AE51" s="376">
        <f t="shared" si="97"/>
        <v>2385.0927360000001</v>
      </c>
      <c r="AF51" s="373">
        <f t="shared" si="76"/>
        <v>6387.9123971199988</v>
      </c>
      <c r="AG51" s="373">
        <f t="shared" si="57"/>
        <v>61835.737599999993</v>
      </c>
      <c r="AH51" s="376">
        <f t="shared" si="98"/>
        <v>2385.0927360000001</v>
      </c>
      <c r="AI51" s="373">
        <f t="shared" si="58"/>
        <v>6387.9123971199988</v>
      </c>
      <c r="AJ51" s="373">
        <f t="shared" si="59"/>
        <v>70669.414399999994</v>
      </c>
      <c r="AK51" s="376">
        <f t="shared" si="99"/>
        <v>2385.0927360000001</v>
      </c>
      <c r="AL51" s="373">
        <f t="shared" si="60"/>
        <v>6387.9123971199988</v>
      </c>
      <c r="AM51" s="373">
        <f t="shared" si="61"/>
        <v>79503.091199999995</v>
      </c>
      <c r="AN51" s="376">
        <f t="shared" si="103"/>
        <v>2385.0927360000001</v>
      </c>
      <c r="AO51" s="373">
        <f t="shared" si="62"/>
        <v>6387.9123971199988</v>
      </c>
      <c r="AP51" s="373">
        <f t="shared" si="63"/>
        <v>88336.767999999996</v>
      </c>
      <c r="AQ51" s="377">
        <f t="shared" si="104"/>
        <v>2412.0341760000001</v>
      </c>
      <c r="AR51" s="373">
        <f t="shared" si="81"/>
        <v>6360.9709571199992</v>
      </c>
      <c r="AS51" s="373">
        <f t="shared" si="64"/>
        <v>97170.444799999997</v>
      </c>
      <c r="AT51" s="377">
        <f t="shared" si="105"/>
        <v>3118.7283199999997</v>
      </c>
      <c r="AU51" s="373">
        <f t="shared" si="66"/>
        <v>5654.2768131199991</v>
      </c>
      <c r="AV51" s="373">
        <f t="shared" si="67"/>
        <v>106004.12159999998</v>
      </c>
      <c r="AW51" s="377">
        <f t="shared" si="106"/>
        <v>3091.7868799999997</v>
      </c>
      <c r="AX51" s="373">
        <f t="shared" si="69"/>
        <v>5681.2182531199996</v>
      </c>
      <c r="AY51" s="292"/>
      <c r="BA51" s="358"/>
    </row>
    <row r="52" spans="1:53" ht="30.75" customHeight="1" x14ac:dyDescent="0.45">
      <c r="A52" s="719"/>
      <c r="B52" s="392" t="s">
        <v>199</v>
      </c>
      <c r="C52" s="290">
        <v>125</v>
      </c>
      <c r="D52" s="238">
        <v>3331</v>
      </c>
      <c r="E52" s="238">
        <v>4163</v>
      </c>
      <c r="F52" s="238">
        <f t="shared" si="43"/>
        <v>7494</v>
      </c>
      <c r="G52" s="233">
        <v>359</v>
      </c>
      <c r="H52" s="353">
        <f t="shared" si="70"/>
        <v>5886.1</v>
      </c>
      <c r="I52" s="363">
        <v>0.7</v>
      </c>
      <c r="J52" s="362">
        <v>3800</v>
      </c>
      <c r="K52" s="361">
        <f t="shared" si="12"/>
        <v>4503.1353399999998</v>
      </c>
      <c r="L52" s="390">
        <v>3810.4870739999988</v>
      </c>
      <c r="M52" s="390">
        <f t="shared" si="71"/>
        <v>692.64826600000106</v>
      </c>
      <c r="N52" s="372">
        <f t="shared" si="13"/>
        <v>41.217660000000002</v>
      </c>
      <c r="O52" s="373">
        <f t="shared" si="44"/>
        <v>5886.1</v>
      </c>
      <c r="P52" s="378">
        <f t="shared" si="94"/>
        <v>882.91500000000008</v>
      </c>
      <c r="Q52" s="373">
        <f t="shared" si="46"/>
        <v>4961.9673400000001</v>
      </c>
      <c r="R52" s="373">
        <f t="shared" si="47"/>
        <v>11772.2</v>
      </c>
      <c r="S52" s="374">
        <f>(R52-10000)*0.2+(10000-O52)*0.15</f>
        <v>971.52500000000009</v>
      </c>
      <c r="T52" s="373">
        <f t="shared" si="48"/>
        <v>4873.3573400000005</v>
      </c>
      <c r="U52" s="373">
        <f t="shared" si="49"/>
        <v>17658.300000000003</v>
      </c>
      <c r="V52" s="374">
        <f>H52*0.2</f>
        <v>1177.22</v>
      </c>
      <c r="W52" s="373">
        <f t="shared" si="51"/>
        <v>4667.6623399999999</v>
      </c>
      <c r="X52" s="373">
        <f t="shared" si="52"/>
        <v>23544.400000000001</v>
      </c>
      <c r="Y52" s="374">
        <f>H52*0.2</f>
        <v>1177.22</v>
      </c>
      <c r="Z52" s="373">
        <f t="shared" si="54"/>
        <v>4667.6623399999999</v>
      </c>
      <c r="AA52" s="373">
        <f t="shared" si="55"/>
        <v>29430.5</v>
      </c>
      <c r="AB52" s="374">
        <f>(AA52-25000)*0.27+(25000-X52)*0.2</f>
        <v>1487.3549999999998</v>
      </c>
      <c r="AC52" s="373">
        <f t="shared" si="74"/>
        <v>4357.5273400000005</v>
      </c>
      <c r="AD52" s="373">
        <f t="shared" si="56"/>
        <v>35316.600000000006</v>
      </c>
      <c r="AE52" s="376">
        <f t="shared" si="97"/>
        <v>1589.2470000000003</v>
      </c>
      <c r="AF52" s="373">
        <f t="shared" si="76"/>
        <v>4255.6353399999998</v>
      </c>
      <c r="AG52" s="373">
        <f t="shared" si="57"/>
        <v>41202.700000000004</v>
      </c>
      <c r="AH52" s="376">
        <f t="shared" si="98"/>
        <v>1589.2470000000003</v>
      </c>
      <c r="AI52" s="373">
        <f t="shared" si="58"/>
        <v>4255.6353399999998</v>
      </c>
      <c r="AJ52" s="373">
        <f t="shared" si="59"/>
        <v>47088.800000000003</v>
      </c>
      <c r="AK52" s="376">
        <f t="shared" si="99"/>
        <v>1589.2470000000003</v>
      </c>
      <c r="AL52" s="373">
        <f t="shared" si="60"/>
        <v>4255.6353399999998</v>
      </c>
      <c r="AM52" s="373">
        <f t="shared" si="61"/>
        <v>52974.9</v>
      </c>
      <c r="AN52" s="376">
        <f t="shared" si="103"/>
        <v>1589.2470000000003</v>
      </c>
      <c r="AO52" s="373">
        <f t="shared" si="62"/>
        <v>4255.6353399999998</v>
      </c>
      <c r="AP52" s="373">
        <f t="shared" si="63"/>
        <v>58861</v>
      </c>
      <c r="AQ52" s="376">
        <f>H52*0.27</f>
        <v>1589.2470000000003</v>
      </c>
      <c r="AR52" s="373">
        <f t="shared" si="81"/>
        <v>4255.6353399999998</v>
      </c>
      <c r="AS52" s="373">
        <f t="shared" si="64"/>
        <v>64747.100000000006</v>
      </c>
      <c r="AT52" s="376">
        <f>H52*0.27</f>
        <v>1589.2470000000003</v>
      </c>
      <c r="AU52" s="373">
        <f t="shared" si="66"/>
        <v>4255.6353399999998</v>
      </c>
      <c r="AV52" s="373">
        <f t="shared" si="67"/>
        <v>70633.200000000012</v>
      </c>
      <c r="AW52" s="376">
        <f>H52*0.27</f>
        <v>1589.2470000000003</v>
      </c>
      <c r="AX52" s="373">
        <f t="shared" si="69"/>
        <v>4255.6353399999998</v>
      </c>
      <c r="AY52" s="292"/>
      <c r="BA52" s="358"/>
    </row>
    <row r="53" spans="1:53" ht="33.75" hidden="1" customHeight="1" x14ac:dyDescent="0.45">
      <c r="A53" s="752" t="s">
        <v>173</v>
      </c>
      <c r="B53" s="753"/>
      <c r="C53" s="241">
        <v>125</v>
      </c>
      <c r="D53" s="234">
        <v>3330.68</v>
      </c>
      <c r="E53" s="234">
        <v>4163.3499999999995</v>
      </c>
      <c r="F53" s="234">
        <f t="shared" si="43"/>
        <v>7494.0299999999988</v>
      </c>
      <c r="G53" s="233">
        <v>278</v>
      </c>
      <c r="H53" s="353">
        <f t="shared" si="70"/>
        <v>5758.8575000000001</v>
      </c>
      <c r="I53" s="363">
        <v>0.65</v>
      </c>
      <c r="J53" s="362">
        <v>3023</v>
      </c>
      <c r="K53" s="361">
        <f t="shared" si="12"/>
        <v>4411.6227155000006</v>
      </c>
      <c r="L53" s="390">
        <v>3048.4967947859991</v>
      </c>
      <c r="M53" s="390">
        <f t="shared" si="71"/>
        <v>1363.1259207140015</v>
      </c>
      <c r="N53" s="372">
        <f t="shared" si="13"/>
        <v>39.843259500000002</v>
      </c>
      <c r="O53" s="373">
        <f t="shared" si="44"/>
        <v>5758.8575000000001</v>
      </c>
      <c r="P53" s="378">
        <f t="shared" si="94"/>
        <v>863.82862499999999</v>
      </c>
      <c r="Q53" s="373">
        <f t="shared" si="46"/>
        <v>4855.1856154999996</v>
      </c>
      <c r="R53" s="373">
        <f t="shared" si="47"/>
        <v>11517.715</v>
      </c>
      <c r="S53" s="374">
        <f>(R53-10000)*0.2+(10000-O53)*0.15</f>
        <v>939.71437500000002</v>
      </c>
      <c r="T53" s="373">
        <f t="shared" si="48"/>
        <v>4779.2998654999992</v>
      </c>
      <c r="U53" s="373">
        <f t="shared" si="49"/>
        <v>17276.572500000002</v>
      </c>
      <c r="V53" s="374">
        <f>H53*0.2</f>
        <v>1151.7715000000001</v>
      </c>
      <c r="W53" s="373">
        <f t="shared" si="51"/>
        <v>4567.2427404999999</v>
      </c>
      <c r="X53" s="373">
        <f t="shared" si="52"/>
        <v>23035.43</v>
      </c>
      <c r="Y53" s="374">
        <f t="shared" ref="Y53:Y54" si="107">H53*0.2</f>
        <v>1151.7715000000001</v>
      </c>
      <c r="Z53" s="373">
        <f t="shared" si="54"/>
        <v>4567.2427404999999</v>
      </c>
      <c r="AA53" s="373">
        <f t="shared" si="55"/>
        <v>28794.287499999999</v>
      </c>
      <c r="AB53" s="374">
        <f>H53*0.2</f>
        <v>1151.7715000000001</v>
      </c>
      <c r="AC53" s="373">
        <f t="shared" si="74"/>
        <v>4567.2427404999999</v>
      </c>
      <c r="AD53" s="373">
        <f t="shared" si="56"/>
        <v>34553.145000000004</v>
      </c>
      <c r="AE53" s="374">
        <f>H53*0.2</f>
        <v>1151.7715000000001</v>
      </c>
      <c r="AF53" s="373">
        <f t="shared" si="76"/>
        <v>4567.2427404999999</v>
      </c>
      <c r="AG53" s="373">
        <f t="shared" si="57"/>
        <v>40312.002500000002</v>
      </c>
      <c r="AH53" s="376">
        <f>(AG53-25000)*0.27+(25000-AD53)*0.2</f>
        <v>2223.6116750000001</v>
      </c>
      <c r="AI53" s="373">
        <f t="shared" si="58"/>
        <v>3495.4025654999996</v>
      </c>
      <c r="AJ53" s="373">
        <f t="shared" si="59"/>
        <v>46070.86</v>
      </c>
      <c r="AK53" s="376">
        <f t="shared" si="99"/>
        <v>1554.8915250000002</v>
      </c>
      <c r="AL53" s="373">
        <f t="shared" si="60"/>
        <v>4164.1227154999997</v>
      </c>
      <c r="AM53" s="373">
        <f t="shared" si="61"/>
        <v>51829.717499999999</v>
      </c>
      <c r="AN53" s="376">
        <f t="shared" si="103"/>
        <v>1554.8915250000002</v>
      </c>
      <c r="AO53" s="373">
        <f t="shared" si="62"/>
        <v>4164.1227154999997</v>
      </c>
      <c r="AP53" s="373">
        <f t="shared" si="63"/>
        <v>57588.574999999997</v>
      </c>
      <c r="AQ53" s="376">
        <f t="shared" ref="AQ53:AQ54" si="108">H53*0.27</f>
        <v>1554.8915250000002</v>
      </c>
      <c r="AR53" s="373">
        <f t="shared" si="81"/>
        <v>4164.1227154999997</v>
      </c>
      <c r="AS53" s="373">
        <f t="shared" si="64"/>
        <v>63347.432500000003</v>
      </c>
      <c r="AT53" s="376">
        <f t="shared" ref="AT53:AT54" si="109">H53*0.27</f>
        <v>1554.8915250000002</v>
      </c>
      <c r="AU53" s="373">
        <f t="shared" si="66"/>
        <v>4164.1227154999997</v>
      </c>
      <c r="AV53" s="373">
        <f t="shared" si="67"/>
        <v>69106.290000000008</v>
      </c>
      <c r="AW53" s="376">
        <f>H53*0.27</f>
        <v>1554.8915250000002</v>
      </c>
      <c r="AX53" s="373">
        <f t="shared" si="69"/>
        <v>4164.1227154999997</v>
      </c>
      <c r="AY53" s="292"/>
      <c r="BA53" s="358"/>
    </row>
    <row r="54" spans="1:53" ht="29.25" hidden="1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43"/>
        <v>4996.01</v>
      </c>
      <c r="G54" s="233">
        <v>278</v>
      </c>
      <c r="H54" s="353">
        <f t="shared" si="70"/>
        <v>3843.71</v>
      </c>
      <c r="I54" s="363">
        <v>0.65</v>
      </c>
      <c r="J54" s="362">
        <v>2822</v>
      </c>
      <c r="K54" s="361">
        <f t="shared" si="12"/>
        <v>3026.2050139999997</v>
      </c>
      <c r="L54" s="390">
        <v>2921.7573390399998</v>
      </c>
      <c r="M54" s="390">
        <f t="shared" si="71"/>
        <v>104.44767495999986</v>
      </c>
      <c r="N54" s="372">
        <f t="shared" si="13"/>
        <v>27.203285999999999</v>
      </c>
      <c r="O54" s="373">
        <f t="shared" si="44"/>
        <v>3843.71</v>
      </c>
      <c r="P54" s="378">
        <f t="shared" si="94"/>
        <v>576.55650000000003</v>
      </c>
      <c r="Q54" s="373">
        <f t="shared" si="46"/>
        <v>3239.950214</v>
      </c>
      <c r="R54" s="373">
        <f t="shared" si="47"/>
        <v>7687.42</v>
      </c>
      <c r="S54" s="378">
        <f>H54*0.15</f>
        <v>576.55650000000003</v>
      </c>
      <c r="T54" s="373">
        <f t="shared" si="48"/>
        <v>3239.950214</v>
      </c>
      <c r="U54" s="373">
        <f t="shared" si="49"/>
        <v>11531.130000000001</v>
      </c>
      <c r="V54" s="374">
        <f>(U54-10000)*0.2+(10000-R54)*0.15</f>
        <v>653.11300000000028</v>
      </c>
      <c r="W54" s="373">
        <f t="shared" si="51"/>
        <v>3163.3937139999998</v>
      </c>
      <c r="X54" s="373">
        <f t="shared" si="52"/>
        <v>15374.84</v>
      </c>
      <c r="Y54" s="374">
        <f t="shared" si="107"/>
        <v>768.74200000000008</v>
      </c>
      <c r="Z54" s="373">
        <f t="shared" si="54"/>
        <v>3047.7647139999999</v>
      </c>
      <c r="AA54" s="373">
        <f t="shared" si="55"/>
        <v>19218.55</v>
      </c>
      <c r="AB54" s="374">
        <f>H54*0.2</f>
        <v>768.74200000000008</v>
      </c>
      <c r="AC54" s="373">
        <f t="shared" si="74"/>
        <v>3047.7647139999999</v>
      </c>
      <c r="AD54" s="373">
        <f t="shared" si="56"/>
        <v>23062.260000000002</v>
      </c>
      <c r="AE54" s="374">
        <f>H54*0.2</f>
        <v>768.74200000000008</v>
      </c>
      <c r="AF54" s="373">
        <f t="shared" si="76"/>
        <v>3047.7647139999999</v>
      </c>
      <c r="AG54" s="373">
        <f t="shared" si="57"/>
        <v>26905.97</v>
      </c>
      <c r="AH54" s="376">
        <f>(AG54-25000)*0.27+(25000-AD54)*0.2</f>
        <v>902.15989999999988</v>
      </c>
      <c r="AI54" s="373">
        <f t="shared" si="58"/>
        <v>2914.3468140000004</v>
      </c>
      <c r="AJ54" s="373">
        <f t="shared" si="59"/>
        <v>30749.68</v>
      </c>
      <c r="AK54" s="376">
        <f t="shared" si="99"/>
        <v>1037.8017</v>
      </c>
      <c r="AL54" s="373">
        <f t="shared" si="60"/>
        <v>2778.7050140000001</v>
      </c>
      <c r="AM54" s="373">
        <f t="shared" si="61"/>
        <v>34593.39</v>
      </c>
      <c r="AN54" s="376">
        <f t="shared" si="103"/>
        <v>1037.8017</v>
      </c>
      <c r="AO54" s="373">
        <f t="shared" si="62"/>
        <v>2778.7050140000001</v>
      </c>
      <c r="AP54" s="373">
        <f t="shared" si="63"/>
        <v>38437.1</v>
      </c>
      <c r="AQ54" s="376">
        <f t="shared" si="108"/>
        <v>1037.8017</v>
      </c>
      <c r="AR54" s="373">
        <f t="shared" si="81"/>
        <v>2778.7050140000001</v>
      </c>
      <c r="AS54" s="373">
        <f t="shared" si="64"/>
        <v>42280.81</v>
      </c>
      <c r="AT54" s="376">
        <f t="shared" si="109"/>
        <v>1037.8017</v>
      </c>
      <c r="AU54" s="373">
        <f t="shared" si="66"/>
        <v>2778.7050140000001</v>
      </c>
      <c r="AV54" s="373">
        <f t="shared" si="67"/>
        <v>46124.520000000004</v>
      </c>
      <c r="AW54" s="376">
        <f>H54*0.27</f>
        <v>1037.8017</v>
      </c>
      <c r="AX54" s="373">
        <f t="shared" si="69"/>
        <v>2778.7050140000001</v>
      </c>
      <c r="AY54" s="292"/>
      <c r="BA54" s="358"/>
    </row>
    <row r="55" spans="1:53" x14ac:dyDescent="0.35">
      <c r="AN55" s="379"/>
    </row>
  </sheetData>
  <mergeCells count="11">
    <mergeCell ref="A30:A38"/>
    <mergeCell ref="A39:A46"/>
    <mergeCell ref="A47:A52"/>
    <mergeCell ref="A53:B53"/>
    <mergeCell ref="A54:B54"/>
    <mergeCell ref="A28:B28"/>
    <mergeCell ref="A1:F1"/>
    <mergeCell ref="A4:B4"/>
    <mergeCell ref="A6:A14"/>
    <mergeCell ref="A15:A23"/>
    <mergeCell ref="A24:A2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5"/>
  <sheetViews>
    <sheetView topLeftCell="A4" zoomScale="60" zoomScaleNormal="60" workbookViewId="0">
      <selection activeCell="K27" sqref="K27"/>
    </sheetView>
  </sheetViews>
  <sheetFormatPr defaultRowHeight="21" x14ac:dyDescent="0.35"/>
  <cols>
    <col min="1" max="1" width="6.7109375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3.5703125" customWidth="1"/>
    <col min="10" max="10" width="24.42578125" customWidth="1"/>
    <col min="11" max="11" width="22.85546875" customWidth="1"/>
    <col min="12" max="13" width="22.85546875" hidden="1" customWidth="1"/>
    <col min="14" max="14" width="26" customWidth="1"/>
    <col min="15" max="15" width="13.28515625" style="130" customWidth="1"/>
    <col min="16" max="16" width="16.140625" style="130" bestFit="1" customWidth="1"/>
    <col min="17" max="17" width="14.140625" style="130" bestFit="1" customWidth="1"/>
    <col min="18" max="19" width="16.140625" style="130" bestFit="1" customWidth="1"/>
    <col min="20" max="20" width="14.140625" style="130" bestFit="1" customWidth="1"/>
    <col min="21" max="22" width="16.140625" style="130" bestFit="1" customWidth="1"/>
    <col min="23" max="23" width="14.140625" style="130" bestFit="1" customWidth="1"/>
    <col min="24" max="25" width="16.140625" style="130" bestFit="1" customWidth="1"/>
    <col min="26" max="26" width="14.140625" style="130" bestFit="1" customWidth="1"/>
    <col min="27" max="28" width="16.140625" style="130" bestFit="1" customWidth="1"/>
    <col min="29" max="29" width="14.140625" style="130" bestFit="1" customWidth="1"/>
    <col min="30" max="30" width="16.140625" style="130" bestFit="1" customWidth="1"/>
    <col min="31" max="31" width="17.7109375" style="130" bestFit="1" customWidth="1"/>
    <col min="32" max="32" width="14.140625" style="130" bestFit="1" customWidth="1"/>
    <col min="33" max="33" width="16.140625" style="130" bestFit="1" customWidth="1"/>
    <col min="34" max="34" width="17.7109375" style="130" bestFit="1" customWidth="1"/>
    <col min="35" max="35" width="14.140625" style="130" bestFit="1" customWidth="1"/>
    <col min="36" max="36" width="16.140625" style="130" bestFit="1" customWidth="1"/>
    <col min="37" max="37" width="17.7109375" style="130" bestFit="1" customWidth="1"/>
    <col min="38" max="38" width="18.7109375" style="130" customWidth="1"/>
    <col min="39" max="39" width="16.140625" style="130" bestFit="1" customWidth="1"/>
    <col min="40" max="40" width="17.7109375" style="130" bestFit="1" customWidth="1"/>
    <col min="41" max="41" width="14.140625" style="130" bestFit="1" customWidth="1"/>
    <col min="42" max="42" width="16.140625" style="130" bestFit="1" customWidth="1"/>
    <col min="43" max="43" width="17.7109375" style="130" bestFit="1" customWidth="1"/>
    <col min="44" max="44" width="14.140625" style="130" bestFit="1" customWidth="1"/>
    <col min="45" max="45" width="16.140625" style="130" bestFit="1" customWidth="1"/>
    <col min="46" max="46" width="17.7109375" style="130" bestFit="1" customWidth="1"/>
    <col min="47" max="47" width="14.140625" style="130" bestFit="1" customWidth="1"/>
    <col min="48" max="48" width="16.140625" style="130" bestFit="1" customWidth="1"/>
    <col min="49" max="49" width="17.7109375" style="130" bestFit="1" customWidth="1"/>
    <col min="50" max="50" width="14.140625" style="130" bestFit="1" customWidth="1"/>
    <col min="51" max="51" width="16.140625" style="130" bestFit="1" customWidth="1"/>
    <col min="54" max="54" width="17.85546875" bestFit="1" customWidth="1"/>
  </cols>
  <sheetData>
    <row r="1" spans="1:54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4" ht="24" hidden="1" thickBot="1" x14ac:dyDescent="0.4">
      <c r="A2" s="192"/>
      <c r="B2" s="2"/>
      <c r="C2" s="2"/>
      <c r="D2" s="2"/>
      <c r="E2" s="2"/>
      <c r="F2" s="2"/>
      <c r="K2" s="385"/>
      <c r="L2" s="385"/>
      <c r="M2" s="385"/>
      <c r="N2" s="385"/>
    </row>
    <row r="3" spans="1:54" ht="27" hidden="1" thickBot="1" x14ac:dyDescent="0.4">
      <c r="A3" s="236" t="s">
        <v>1</v>
      </c>
      <c r="B3" s="4"/>
      <c r="C3" s="4"/>
      <c r="D3" s="4"/>
      <c r="E3" s="4"/>
      <c r="F3" s="4"/>
    </row>
    <row r="4" spans="1:54" ht="65.25" customHeight="1" x14ac:dyDescent="0.25">
      <c r="A4" s="726" t="s">
        <v>2</v>
      </c>
      <c r="B4" s="726"/>
      <c r="C4" s="462" t="s">
        <v>3</v>
      </c>
      <c r="D4" s="462" t="s">
        <v>229</v>
      </c>
      <c r="E4" s="462" t="s">
        <v>253</v>
      </c>
      <c r="F4" s="462" t="s">
        <v>231</v>
      </c>
      <c r="G4" s="395" t="s">
        <v>244</v>
      </c>
      <c r="H4" s="395" t="s">
        <v>249</v>
      </c>
      <c r="I4" s="352" t="s">
        <v>37</v>
      </c>
      <c r="J4" s="364" t="s">
        <v>279</v>
      </c>
      <c r="K4" s="364" t="s">
        <v>280</v>
      </c>
      <c r="L4" s="389"/>
      <c r="M4" s="389"/>
      <c r="N4" s="389" t="s">
        <v>283</v>
      </c>
      <c r="O4" s="365" t="s">
        <v>245</v>
      </c>
      <c r="P4" s="365">
        <v>1</v>
      </c>
      <c r="Q4" s="365" t="s">
        <v>255</v>
      </c>
      <c r="R4" s="365" t="s">
        <v>267</v>
      </c>
      <c r="S4" s="365">
        <v>2</v>
      </c>
      <c r="T4" s="365" t="s">
        <v>256</v>
      </c>
      <c r="U4" s="365" t="s">
        <v>268</v>
      </c>
      <c r="V4" s="365">
        <v>3</v>
      </c>
      <c r="W4" s="365" t="s">
        <v>257</v>
      </c>
      <c r="X4" s="365" t="s">
        <v>278</v>
      </c>
      <c r="Y4" s="365">
        <v>4</v>
      </c>
      <c r="Z4" s="365" t="s">
        <v>258</v>
      </c>
      <c r="AA4" s="365" t="s">
        <v>277</v>
      </c>
      <c r="AB4" s="365">
        <v>5</v>
      </c>
      <c r="AC4" s="365" t="s">
        <v>259</v>
      </c>
      <c r="AD4" s="365" t="s">
        <v>276</v>
      </c>
      <c r="AE4" s="365">
        <v>6</v>
      </c>
      <c r="AF4" s="365" t="s">
        <v>260</v>
      </c>
      <c r="AG4" s="365" t="s">
        <v>275</v>
      </c>
      <c r="AH4" s="365">
        <v>7</v>
      </c>
      <c r="AI4" s="365" t="s">
        <v>261</v>
      </c>
      <c r="AJ4" s="365" t="s">
        <v>274</v>
      </c>
      <c r="AK4" s="365">
        <v>8</v>
      </c>
      <c r="AL4" s="365" t="s">
        <v>262</v>
      </c>
      <c r="AM4" s="365" t="s">
        <v>273</v>
      </c>
      <c r="AN4" s="365">
        <v>9</v>
      </c>
      <c r="AO4" s="365" t="s">
        <v>263</v>
      </c>
      <c r="AP4" s="365" t="s">
        <v>272</v>
      </c>
      <c r="AQ4" s="365">
        <v>10</v>
      </c>
      <c r="AR4" s="365" t="s">
        <v>264</v>
      </c>
      <c r="AS4" s="365" t="s">
        <v>271</v>
      </c>
      <c r="AT4" s="365">
        <v>11</v>
      </c>
      <c r="AU4" s="365" t="s">
        <v>265</v>
      </c>
      <c r="AV4" s="365" t="s">
        <v>270</v>
      </c>
      <c r="AW4" s="365">
        <v>12</v>
      </c>
      <c r="AX4" s="366" t="s">
        <v>266</v>
      </c>
      <c r="AY4" s="366" t="s">
        <v>269</v>
      </c>
    </row>
    <row r="5" spans="1:54" s="233" customFormat="1" ht="33.75" customHeight="1" x14ac:dyDescent="0.45">
      <c r="A5" s="229"/>
      <c r="B5" s="346"/>
      <c r="C5" s="231"/>
      <c r="D5" s="231"/>
      <c r="E5" s="231"/>
      <c r="F5" s="231"/>
      <c r="H5" s="357">
        <v>0.93</v>
      </c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1"/>
    </row>
    <row r="6" spans="1:54" s="233" customFormat="1" ht="30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18227.499739999999</v>
      </c>
      <c r="I6" s="463">
        <v>0.7</v>
      </c>
      <c r="J6" s="362">
        <v>12600</v>
      </c>
      <c r="K6" s="361">
        <f>((R6+U6+X6+AA6+AD6+AG6+AJ6+AM6+AP6+AS6+AV6+AY6)/12)+60</f>
        <v>12559.370599382668</v>
      </c>
      <c r="L6" s="390">
        <v>12559.370599382668</v>
      </c>
      <c r="M6" s="390">
        <f>K6-L6</f>
        <v>0</v>
      </c>
      <c r="N6" s="390">
        <f t="shared" ref="N6:N28" si="0">K6/0.93</f>
        <v>13504.699569228675</v>
      </c>
      <c r="O6" s="372">
        <f t="shared" ref="O6:O28" si="1">(H6+G6)*0.0066</f>
        <v>122.67089828399999</v>
      </c>
      <c r="P6" s="373">
        <f>H6</f>
        <v>18227.499739999999</v>
      </c>
      <c r="Q6" s="374">
        <f>(P6-10000)*0.2+10000*0.15</f>
        <v>3145.4999479999997</v>
      </c>
      <c r="R6" s="373">
        <f>H6-O6-Q6</f>
        <v>14959.328893716</v>
      </c>
      <c r="S6" s="373">
        <f t="shared" ref="S6:S28" si="2">H6*2</f>
        <v>36454.999479999999</v>
      </c>
      <c r="T6" s="376">
        <f>(S6-25000)*0.27+4500-Q6</f>
        <v>4447.3499116000003</v>
      </c>
      <c r="U6" s="373">
        <f>H6-O6-T6</f>
        <v>13657.478930116</v>
      </c>
      <c r="V6" s="373">
        <f>H6*3</f>
        <v>54682.499219999998</v>
      </c>
      <c r="W6" s="376">
        <f>P6*0.27</f>
        <v>4921.4249298000004</v>
      </c>
      <c r="X6" s="373">
        <f>H6-O6-W6</f>
        <v>13183.403911916001</v>
      </c>
      <c r="Y6" s="373">
        <f>H6*4</f>
        <v>72909.998959999997</v>
      </c>
      <c r="Z6" s="376">
        <f t="shared" ref="Z6:Z22" si="3">H6*0.27</f>
        <v>4921.4249298000004</v>
      </c>
      <c r="AA6" s="373">
        <f>H6-O6-Z6</f>
        <v>13183.403911916001</v>
      </c>
      <c r="AB6" s="373">
        <f>H6*5</f>
        <v>91137.498699999996</v>
      </c>
      <c r="AC6" s="377">
        <f>(AB6-88000)*0.35+(88000-Y6)*0.27</f>
        <v>5172.4248257999998</v>
      </c>
      <c r="AD6" s="373">
        <f>H6-O6-AC6</f>
        <v>12932.404015915999</v>
      </c>
      <c r="AE6" s="373">
        <f>H6*6</f>
        <v>109364.99844</v>
      </c>
      <c r="AF6" s="377">
        <f>$H$6*0.35</f>
        <v>6379.6249089999992</v>
      </c>
      <c r="AG6" s="373">
        <f>H6-O6-AF6</f>
        <v>11725.203932716002</v>
      </c>
      <c r="AH6" s="373">
        <f>H6*7</f>
        <v>127592.49818</v>
      </c>
      <c r="AI6" s="377">
        <f>$H$6*0.35</f>
        <v>6379.6249089999992</v>
      </c>
      <c r="AJ6" s="373">
        <f>H6-O6-AI6</f>
        <v>11725.203932716002</v>
      </c>
      <c r="AK6" s="373">
        <f>H6*8</f>
        <v>145819.99791999999</v>
      </c>
      <c r="AL6" s="377">
        <f>$H$6*0.35</f>
        <v>6379.6249089999992</v>
      </c>
      <c r="AM6" s="373">
        <f>H6-O6-AL6</f>
        <v>11725.203932716002</v>
      </c>
      <c r="AN6" s="373">
        <f>H6*9</f>
        <v>164047.49765999999</v>
      </c>
      <c r="AO6" s="377">
        <f>$H$6*0.35</f>
        <v>6379.6249089999992</v>
      </c>
      <c r="AP6" s="373">
        <f>H6-O6-AO6</f>
        <v>11725.203932716002</v>
      </c>
      <c r="AQ6" s="373">
        <f>H6*10</f>
        <v>182274.99739999999</v>
      </c>
      <c r="AR6" s="377">
        <f>$H$6*0.35</f>
        <v>6379.6249089999992</v>
      </c>
      <c r="AS6" s="373">
        <f>H6-O6-AR6</f>
        <v>11725.203932716002</v>
      </c>
      <c r="AT6" s="373">
        <f>H6*11</f>
        <v>200502.49713999999</v>
      </c>
      <c r="AU6" s="377">
        <f>$H$6*0.35</f>
        <v>6379.6249089999992</v>
      </c>
      <c r="AV6" s="373">
        <f>H6-O6-AU6</f>
        <v>11725.203932716002</v>
      </c>
      <c r="AW6" s="373">
        <f>H6*12</f>
        <v>218729.99687999999</v>
      </c>
      <c r="AX6" s="377">
        <f>$H$6*0.35</f>
        <v>6379.6249089999992</v>
      </c>
      <c r="AY6" s="373">
        <f>H6-O6-AX6</f>
        <v>11725.203932716002</v>
      </c>
      <c r="AZ6" s="371"/>
      <c r="BB6" s="358"/>
    </row>
    <row r="7" spans="1:54" s="233" customFormat="1" ht="30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11924.021305999999</v>
      </c>
      <c r="I7" s="363">
        <v>0.33</v>
      </c>
      <c r="J7" s="362">
        <v>8500</v>
      </c>
      <c r="K7" s="361">
        <f t="shared" ref="K7:K54" si="4">((R7+U7+X7+AA7+AD7+AG7+AJ7+AM7+AP7+AS7+AV7+AY7)/12)+60</f>
        <v>8503.712574947067</v>
      </c>
      <c r="L7" s="390">
        <v>8503.712574947067</v>
      </c>
      <c r="M7" s="390">
        <f t="shared" ref="M7:M54" si="5">K7-L7</f>
        <v>0</v>
      </c>
      <c r="N7" s="390">
        <f t="shared" si="0"/>
        <v>9143.7769623086733</v>
      </c>
      <c r="O7" s="372">
        <f t="shared" si="1"/>
        <v>81.067940619599995</v>
      </c>
      <c r="P7" s="373">
        <f t="shared" ref="P7:P28" si="6">H7</f>
        <v>11924.021305999999</v>
      </c>
      <c r="Q7" s="374">
        <f>(P7-10000)*0.2+1500</f>
        <v>1884.8042611999997</v>
      </c>
      <c r="R7" s="373">
        <f t="shared" ref="R7:R28" si="7">H7-O7-Q7</f>
        <v>9958.1491041804002</v>
      </c>
      <c r="S7" s="373">
        <f t="shared" si="2"/>
        <v>23848.042611999997</v>
      </c>
      <c r="T7" s="374">
        <f>H7*0.2</f>
        <v>2384.8042611999999</v>
      </c>
      <c r="U7" s="373">
        <f t="shared" ref="U7:U28" si="8">H7-O7-T7</f>
        <v>9458.1491041804002</v>
      </c>
      <c r="V7" s="373">
        <f t="shared" ref="V7:V28" si="9">H7*3</f>
        <v>35772.063918</v>
      </c>
      <c r="W7" s="376">
        <f>(25000-S7)*0.2+(V7-25000)*0.27</f>
        <v>3138.8487354600006</v>
      </c>
      <c r="X7" s="373">
        <f t="shared" ref="X7:X28" si="10">H7-O7-W7</f>
        <v>8704.104629920399</v>
      </c>
      <c r="Y7" s="373">
        <f t="shared" ref="Y7:Y28" si="11">H7*4</f>
        <v>47696.085223999995</v>
      </c>
      <c r="Z7" s="376">
        <f t="shared" si="3"/>
        <v>3219.4857526199999</v>
      </c>
      <c r="AA7" s="373">
        <f t="shared" ref="AA7:AA28" si="12">H7-O7-Z7</f>
        <v>8623.4676127603998</v>
      </c>
      <c r="AB7" s="373">
        <f t="shared" ref="AB7:AB28" si="13">H7*5</f>
        <v>59620.10652999999</v>
      </c>
      <c r="AC7" s="376">
        <f t="shared" ref="AC7:AC24" si="14">H7*0.27</f>
        <v>3219.4857526199999</v>
      </c>
      <c r="AD7" s="373">
        <f t="shared" ref="AD7:AD28" si="15">H7-O7-AC7</f>
        <v>8623.4676127603998</v>
      </c>
      <c r="AE7" s="373">
        <f t="shared" ref="AE7:AE28" si="16">H7*6</f>
        <v>71544.127836</v>
      </c>
      <c r="AF7" s="376">
        <f t="shared" ref="AF7:AF14" si="17">H7*0.27</f>
        <v>3219.4857526199999</v>
      </c>
      <c r="AG7" s="373">
        <f t="shared" ref="AG7:AG28" si="18">H7-O7-AF7</f>
        <v>8623.4676127603998</v>
      </c>
      <c r="AH7" s="373">
        <f t="shared" ref="AH7:AH28" si="19">H7*7</f>
        <v>83468.149141999995</v>
      </c>
      <c r="AI7" s="376">
        <f>H7*0.27</f>
        <v>3219.4857526199999</v>
      </c>
      <c r="AJ7" s="373">
        <f t="shared" ref="AJ7:AJ28" si="20">H7-O7-AI7</f>
        <v>8623.4676127603998</v>
      </c>
      <c r="AK7" s="373">
        <f t="shared" ref="AK7:AK28" si="21">H7*8</f>
        <v>95392.17044799999</v>
      </c>
      <c r="AL7" s="377">
        <f>(AK7-88000)*0.35+(88000-AH7)*0.27</f>
        <v>3810.8593884599977</v>
      </c>
      <c r="AM7" s="373">
        <f t="shared" ref="AM7:AM28" si="22">H7-O7-AL7</f>
        <v>8032.0939769204015</v>
      </c>
      <c r="AN7" s="373">
        <f t="shared" ref="AN7:AN28" si="23">H7*9</f>
        <v>107316.19175399998</v>
      </c>
      <c r="AO7" s="377">
        <f>H7*0.35</f>
        <v>4173.4074570999992</v>
      </c>
      <c r="AP7" s="373">
        <f t="shared" ref="AP7:AP28" si="24">H7-O7-AO7</f>
        <v>7669.5459082804</v>
      </c>
      <c r="AQ7" s="373">
        <f t="shared" ref="AQ7:AQ28" si="25">H7*10</f>
        <v>119240.21305999998</v>
      </c>
      <c r="AR7" s="377">
        <f t="shared" ref="AR7:AR12" si="26">H7*0.35</f>
        <v>4173.4074570999992</v>
      </c>
      <c r="AS7" s="373">
        <f t="shared" ref="AS7:AS28" si="27">H7-O7-AR7</f>
        <v>7669.5459082804</v>
      </c>
      <c r="AT7" s="373">
        <f t="shared" ref="AT7:AT28" si="28">H7*11</f>
        <v>131164.23436599999</v>
      </c>
      <c r="AU7" s="377">
        <f t="shared" ref="AU7:AU13" si="29">H7*0.35</f>
        <v>4173.4074570999992</v>
      </c>
      <c r="AV7" s="373">
        <f t="shared" ref="AV7:AV28" si="30">H7-O7-AU7</f>
        <v>7669.5459082804</v>
      </c>
      <c r="AW7" s="373">
        <f t="shared" ref="AW7:AW28" si="31">H7*12</f>
        <v>143088.255672</v>
      </c>
      <c r="AX7" s="377">
        <f t="shared" ref="AX7" si="32">AU7</f>
        <v>4173.4074570999992</v>
      </c>
      <c r="AY7" s="373">
        <f t="shared" ref="AY7:AY28" si="33">H7-O7-AX7</f>
        <v>7669.5459082804</v>
      </c>
      <c r="AZ7" s="371"/>
      <c r="BB7" s="358"/>
    </row>
    <row r="8" spans="1:54" s="233" customFormat="1" ht="30" customHeight="1" x14ac:dyDescent="0.45">
      <c r="A8" s="728"/>
      <c r="B8" s="461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34">D8+E8*$H$5*$I8-G8</f>
        <v>9709.2856400000001</v>
      </c>
      <c r="I8" s="363">
        <v>0.2</v>
      </c>
      <c r="J8" s="362">
        <v>7066</v>
      </c>
      <c r="K8" s="361">
        <f t="shared" si="4"/>
        <v>7078.7516474426657</v>
      </c>
      <c r="L8" s="390">
        <v>7078.7516474426657</v>
      </c>
      <c r="M8" s="390">
        <f t="shared" si="5"/>
        <v>0</v>
      </c>
      <c r="N8" s="390">
        <f t="shared" si="0"/>
        <v>7611.560911228672</v>
      </c>
      <c r="O8" s="372">
        <f t="shared" si="1"/>
        <v>66.450685223999997</v>
      </c>
      <c r="P8" s="373">
        <f t="shared" si="6"/>
        <v>9709.2856400000001</v>
      </c>
      <c r="Q8" s="378">
        <f>H8*0.15</f>
        <v>1456.392846</v>
      </c>
      <c r="R8" s="373">
        <f t="shared" si="7"/>
        <v>8186.4421087760011</v>
      </c>
      <c r="S8" s="373">
        <f t="shared" si="2"/>
        <v>19418.57128</v>
      </c>
      <c r="T8" s="374">
        <f t="shared" ref="T8" si="35">(S8-10000)*0.2+(10000-P8)*0.15</f>
        <v>1927.3214100000002</v>
      </c>
      <c r="U8" s="373">
        <f t="shared" si="8"/>
        <v>7715.5135447760003</v>
      </c>
      <c r="V8" s="373">
        <f t="shared" si="9"/>
        <v>29127.856919999998</v>
      </c>
      <c r="W8" s="376">
        <f>(V8-25000)*0.27+(25000-S8)*0.2</f>
        <v>2230.8071123999998</v>
      </c>
      <c r="X8" s="373">
        <f t="shared" si="10"/>
        <v>7412.027842376001</v>
      </c>
      <c r="Y8" s="373">
        <f t="shared" si="11"/>
        <v>38837.14256</v>
      </c>
      <c r="Z8" s="376">
        <f t="shared" si="3"/>
        <v>2621.5071228000002</v>
      </c>
      <c r="AA8" s="373">
        <f t="shared" si="12"/>
        <v>7021.3278319760011</v>
      </c>
      <c r="AB8" s="373">
        <f t="shared" si="13"/>
        <v>48546.428200000002</v>
      </c>
      <c r="AC8" s="376">
        <f t="shared" si="14"/>
        <v>2621.5071228000002</v>
      </c>
      <c r="AD8" s="373">
        <f t="shared" si="15"/>
        <v>7021.3278319760011</v>
      </c>
      <c r="AE8" s="373">
        <f t="shared" si="16"/>
        <v>58255.713839999997</v>
      </c>
      <c r="AF8" s="376">
        <f t="shared" si="17"/>
        <v>2621.5071228000002</v>
      </c>
      <c r="AG8" s="373">
        <f t="shared" si="18"/>
        <v>7021.3278319760011</v>
      </c>
      <c r="AH8" s="373">
        <f t="shared" si="19"/>
        <v>67964.999479999999</v>
      </c>
      <c r="AI8" s="376">
        <f>H8*0.27</f>
        <v>2621.5071228000002</v>
      </c>
      <c r="AJ8" s="373">
        <f t="shared" si="20"/>
        <v>7021.3278319760011</v>
      </c>
      <c r="AK8" s="373">
        <f t="shared" si="21"/>
        <v>77674.28512</v>
      </c>
      <c r="AL8" s="376">
        <f>H8*0.27</f>
        <v>2621.5071228000002</v>
      </c>
      <c r="AM8" s="373">
        <f t="shared" si="22"/>
        <v>7021.3278319760011</v>
      </c>
      <c r="AN8" s="373">
        <f t="shared" si="23"/>
        <v>87383.570760000002</v>
      </c>
      <c r="AO8" s="377">
        <f>(AN8-88000)*0.35+(88000-AK8)*0.27</f>
        <v>2572.1927836000009</v>
      </c>
      <c r="AP8" s="373">
        <f t="shared" si="24"/>
        <v>7070.6421711759995</v>
      </c>
      <c r="AQ8" s="373">
        <f t="shared" si="25"/>
        <v>97092.856400000004</v>
      </c>
      <c r="AR8" s="377">
        <f t="shared" si="26"/>
        <v>3398.2499739999998</v>
      </c>
      <c r="AS8" s="373">
        <f t="shared" si="27"/>
        <v>6244.5849807760005</v>
      </c>
      <c r="AT8" s="373">
        <f t="shared" si="28"/>
        <v>106802.14204000001</v>
      </c>
      <c r="AU8" s="377">
        <f t="shared" si="29"/>
        <v>3398.2499739999998</v>
      </c>
      <c r="AV8" s="373">
        <f t="shared" si="30"/>
        <v>6244.5849807760005</v>
      </c>
      <c r="AW8" s="373">
        <f t="shared" si="31"/>
        <v>116511.42767999999</v>
      </c>
      <c r="AX8" s="377">
        <f t="shared" ref="AX8:AX22" si="36">H8*0.35</f>
        <v>3398.2499739999998</v>
      </c>
      <c r="AY8" s="373">
        <f t="shared" si="33"/>
        <v>6244.5849807760005</v>
      </c>
      <c r="AZ8" s="371"/>
      <c r="BB8" s="358"/>
    </row>
    <row r="9" spans="1:54" s="233" customFormat="1" ht="30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37">D9+E9</f>
        <v>19983.72</v>
      </c>
      <c r="G9" s="233">
        <v>359</v>
      </c>
      <c r="H9" s="353">
        <f t="shared" si="34"/>
        <v>14107.781648</v>
      </c>
      <c r="I9" s="363">
        <v>0.63</v>
      </c>
      <c r="J9" s="362">
        <v>9900</v>
      </c>
      <c r="K9" s="361">
        <f t="shared" si="4"/>
        <v>9908.743978989869</v>
      </c>
      <c r="L9" s="390">
        <v>9908.743978989869</v>
      </c>
      <c r="M9" s="390">
        <f t="shared" si="5"/>
        <v>0</v>
      </c>
      <c r="N9" s="390">
        <f t="shared" si="0"/>
        <v>10654.563418268675</v>
      </c>
      <c r="O9" s="372">
        <f t="shared" si="1"/>
        <v>95.480758876799996</v>
      </c>
      <c r="P9" s="373">
        <f t="shared" si="6"/>
        <v>14107.781648</v>
      </c>
      <c r="Q9" s="374">
        <f t="shared" ref="Q9:Q20" si="38">(P9-10000)*0.2+10000*0.15</f>
        <v>2321.5563296</v>
      </c>
      <c r="R9" s="373">
        <f t="shared" si="7"/>
        <v>11690.7445595232</v>
      </c>
      <c r="S9" s="373">
        <f t="shared" si="2"/>
        <v>28215.563296</v>
      </c>
      <c r="T9" s="376">
        <f>(S9-25000)*0.27+(25000-P9)*0.2</f>
        <v>3046.6457603200001</v>
      </c>
      <c r="U9" s="373">
        <f t="shared" si="8"/>
        <v>10965.655128803201</v>
      </c>
      <c r="V9" s="373">
        <f t="shared" si="9"/>
        <v>42323.344943999997</v>
      </c>
      <c r="W9" s="376">
        <f t="shared" ref="W9:W10" si="39">P9*0.27</f>
        <v>3809.1010449600003</v>
      </c>
      <c r="X9" s="373">
        <f t="shared" si="10"/>
        <v>10203.1998441632</v>
      </c>
      <c r="Y9" s="373">
        <f t="shared" si="11"/>
        <v>56431.126592000001</v>
      </c>
      <c r="Z9" s="376">
        <f t="shared" si="3"/>
        <v>3809.1010449600003</v>
      </c>
      <c r="AA9" s="373">
        <f t="shared" si="12"/>
        <v>10203.1998441632</v>
      </c>
      <c r="AB9" s="373">
        <f t="shared" si="13"/>
        <v>70538.908240000004</v>
      </c>
      <c r="AC9" s="376">
        <f t="shared" si="14"/>
        <v>3809.1010449600003</v>
      </c>
      <c r="AD9" s="373">
        <f t="shared" si="15"/>
        <v>10203.1998441632</v>
      </c>
      <c r="AE9" s="373">
        <f t="shared" si="16"/>
        <v>84646.689887999994</v>
      </c>
      <c r="AF9" s="376">
        <f t="shared" si="17"/>
        <v>3809.1010449600003</v>
      </c>
      <c r="AG9" s="373">
        <f t="shared" si="18"/>
        <v>10203.1998441632</v>
      </c>
      <c r="AH9" s="373">
        <f t="shared" si="19"/>
        <v>98754.471535999997</v>
      </c>
      <c r="AI9" s="377">
        <f>(AH9-88000)*0.35+(88000-AE9)*0.27</f>
        <v>4669.4587678400003</v>
      </c>
      <c r="AJ9" s="373">
        <f t="shared" si="20"/>
        <v>9342.8421212832</v>
      </c>
      <c r="AK9" s="373">
        <f t="shared" si="21"/>
        <v>112862.253184</v>
      </c>
      <c r="AL9" s="377">
        <f>H9*0.35</f>
        <v>4937.7235768</v>
      </c>
      <c r="AM9" s="373">
        <f t="shared" si="22"/>
        <v>9074.5773123231993</v>
      </c>
      <c r="AN9" s="373">
        <f t="shared" si="23"/>
        <v>126970.034832</v>
      </c>
      <c r="AO9" s="377">
        <f>H9*0.35</f>
        <v>4937.7235768</v>
      </c>
      <c r="AP9" s="373">
        <f t="shared" si="24"/>
        <v>9074.5773123231993</v>
      </c>
      <c r="AQ9" s="373">
        <f t="shared" si="25"/>
        <v>141077.81648000001</v>
      </c>
      <c r="AR9" s="377">
        <f t="shared" si="26"/>
        <v>4937.7235768</v>
      </c>
      <c r="AS9" s="373">
        <f t="shared" si="27"/>
        <v>9074.5773123231993</v>
      </c>
      <c r="AT9" s="373">
        <f t="shared" si="28"/>
        <v>155185.59812800001</v>
      </c>
      <c r="AU9" s="377">
        <f t="shared" si="29"/>
        <v>4937.7235768</v>
      </c>
      <c r="AV9" s="373">
        <f t="shared" si="30"/>
        <v>9074.5773123231993</v>
      </c>
      <c r="AW9" s="373">
        <f t="shared" si="31"/>
        <v>169293.37977599999</v>
      </c>
      <c r="AX9" s="377">
        <f t="shared" si="36"/>
        <v>4937.7235768</v>
      </c>
      <c r="AY9" s="373">
        <f t="shared" si="33"/>
        <v>9074.5773123231993</v>
      </c>
      <c r="AZ9" s="371"/>
      <c r="BB9" s="358"/>
    </row>
    <row r="10" spans="1:54" s="233" customFormat="1" ht="30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37"/>
        <v>19983.72</v>
      </c>
      <c r="G10" s="233">
        <v>359</v>
      </c>
      <c r="H10" s="353">
        <f t="shared" si="34"/>
        <v>12497.0648</v>
      </c>
      <c r="I10" s="463">
        <v>0.5</v>
      </c>
      <c r="J10" s="362">
        <v>8900</v>
      </c>
      <c r="K10" s="361">
        <f t="shared" si="4"/>
        <v>8872.3745149866663</v>
      </c>
      <c r="L10" s="390">
        <v>8872.3745149866663</v>
      </c>
      <c r="M10" s="390">
        <f t="shared" si="5"/>
        <v>0</v>
      </c>
      <c r="N10" s="390">
        <f t="shared" si="0"/>
        <v>9540.1876505232958</v>
      </c>
      <c r="O10" s="372">
        <f t="shared" si="1"/>
        <v>84.850027679999997</v>
      </c>
      <c r="P10" s="373">
        <f t="shared" si="6"/>
        <v>12497.0648</v>
      </c>
      <c r="Q10" s="374">
        <f t="shared" si="38"/>
        <v>1999.4129600000001</v>
      </c>
      <c r="R10" s="373">
        <f t="shared" si="7"/>
        <v>10412.80181232</v>
      </c>
      <c r="S10" s="373">
        <f t="shared" si="2"/>
        <v>24994.1296</v>
      </c>
      <c r="T10" s="376">
        <f>H10*0.2</f>
        <v>2499.4129600000001</v>
      </c>
      <c r="U10" s="373">
        <f t="shared" si="8"/>
        <v>9912.80181232</v>
      </c>
      <c r="V10" s="373">
        <f t="shared" si="9"/>
        <v>37491.1944</v>
      </c>
      <c r="W10" s="376">
        <f t="shared" si="39"/>
        <v>3374.2074960000004</v>
      </c>
      <c r="X10" s="373">
        <f t="shared" si="10"/>
        <v>9038.0072763199987</v>
      </c>
      <c r="Y10" s="373">
        <f t="shared" si="11"/>
        <v>49988.2592</v>
      </c>
      <c r="Z10" s="376">
        <f t="shared" si="3"/>
        <v>3374.2074960000004</v>
      </c>
      <c r="AA10" s="373">
        <f t="shared" si="12"/>
        <v>9038.0072763199987</v>
      </c>
      <c r="AB10" s="373">
        <f t="shared" si="13"/>
        <v>62485.324000000001</v>
      </c>
      <c r="AC10" s="376">
        <f t="shared" si="14"/>
        <v>3374.2074960000004</v>
      </c>
      <c r="AD10" s="373">
        <f t="shared" si="15"/>
        <v>9038.0072763199987</v>
      </c>
      <c r="AE10" s="373">
        <f t="shared" si="16"/>
        <v>74982.388800000001</v>
      </c>
      <c r="AF10" s="376">
        <f t="shared" si="17"/>
        <v>3374.2074960000004</v>
      </c>
      <c r="AG10" s="373">
        <f t="shared" si="18"/>
        <v>9038.0072763199987</v>
      </c>
      <c r="AH10" s="373">
        <f t="shared" si="19"/>
        <v>87479.453600000008</v>
      </c>
      <c r="AI10" s="376">
        <f>H10*0.27</f>
        <v>3374.2074960000004</v>
      </c>
      <c r="AJ10" s="373">
        <f t="shared" si="20"/>
        <v>9038.0072763199987</v>
      </c>
      <c r="AK10" s="373">
        <f t="shared" si="21"/>
        <v>99976.518400000001</v>
      </c>
      <c r="AL10" s="377">
        <f>(AK10-88000)*0.35+(88000-AH10)*0.27</f>
        <v>4332.328967999998</v>
      </c>
      <c r="AM10" s="373">
        <f t="shared" si="22"/>
        <v>8079.8858043200016</v>
      </c>
      <c r="AN10" s="373">
        <f t="shared" si="23"/>
        <v>112473.58319999999</v>
      </c>
      <c r="AO10" s="377">
        <f>H10*0.35</f>
        <v>4373.9726799999999</v>
      </c>
      <c r="AP10" s="373">
        <f t="shared" si="24"/>
        <v>8038.2420923199998</v>
      </c>
      <c r="AQ10" s="373">
        <f t="shared" si="25"/>
        <v>124970.648</v>
      </c>
      <c r="AR10" s="377">
        <f t="shared" si="26"/>
        <v>4373.9726799999999</v>
      </c>
      <c r="AS10" s="373">
        <f t="shared" si="27"/>
        <v>8038.2420923199998</v>
      </c>
      <c r="AT10" s="373">
        <f t="shared" si="28"/>
        <v>137467.71280000001</v>
      </c>
      <c r="AU10" s="377">
        <f t="shared" si="29"/>
        <v>4373.9726799999999</v>
      </c>
      <c r="AV10" s="373">
        <f t="shared" si="30"/>
        <v>8038.2420923199998</v>
      </c>
      <c r="AW10" s="373">
        <f t="shared" si="31"/>
        <v>149964.7776</v>
      </c>
      <c r="AX10" s="377">
        <f t="shared" si="36"/>
        <v>4373.9726799999999</v>
      </c>
      <c r="AY10" s="373">
        <f t="shared" si="33"/>
        <v>8038.2420923199998</v>
      </c>
      <c r="AZ10" s="371"/>
      <c r="BB10" s="358"/>
    </row>
    <row r="11" spans="1:54" s="233" customFormat="1" ht="30" customHeight="1" x14ac:dyDescent="0.45">
      <c r="A11" s="728"/>
      <c r="B11" s="461" t="s">
        <v>234</v>
      </c>
      <c r="C11" s="231">
        <v>300</v>
      </c>
      <c r="D11" s="238">
        <v>6661</v>
      </c>
      <c r="E11" s="234">
        <v>9992.0399999999991</v>
      </c>
      <c r="F11" s="234">
        <f t="shared" si="37"/>
        <v>16653.04</v>
      </c>
      <c r="G11" s="233">
        <v>359</v>
      </c>
      <c r="H11" s="353">
        <f t="shared" si="34"/>
        <v>10204.890824</v>
      </c>
      <c r="I11" s="463">
        <v>0.42</v>
      </c>
      <c r="J11" s="362">
        <v>7400</v>
      </c>
      <c r="K11" s="361">
        <f t="shared" si="4"/>
        <v>7397.624022828265</v>
      </c>
      <c r="L11" s="390">
        <v>7397.624022828265</v>
      </c>
      <c r="M11" s="390">
        <f t="shared" si="5"/>
        <v>0</v>
      </c>
      <c r="N11" s="390">
        <f t="shared" si="0"/>
        <v>7954.4344331486718</v>
      </c>
      <c r="O11" s="372">
        <f t="shared" si="1"/>
        <v>69.721679438400002</v>
      </c>
      <c r="P11" s="373">
        <f t="shared" si="6"/>
        <v>10204.890824</v>
      </c>
      <c r="Q11" s="374">
        <f t="shared" si="38"/>
        <v>1540.9781648000001</v>
      </c>
      <c r="R11" s="373">
        <f t="shared" si="7"/>
        <v>8594.190979761599</v>
      </c>
      <c r="S11" s="373">
        <f t="shared" si="2"/>
        <v>20409.781648</v>
      </c>
      <c r="T11" s="374">
        <f>H11*0.2</f>
        <v>2040.9781648000001</v>
      </c>
      <c r="U11" s="373">
        <f t="shared" si="8"/>
        <v>8094.1909797615999</v>
      </c>
      <c r="V11" s="373">
        <f t="shared" si="9"/>
        <v>30614.672471999998</v>
      </c>
      <c r="W11" s="376">
        <f>(V11-25000)*0.27+(25000-S11)*0.2</f>
        <v>2434.0052378399996</v>
      </c>
      <c r="X11" s="373">
        <f t="shared" si="10"/>
        <v>7701.1639067216001</v>
      </c>
      <c r="Y11" s="373">
        <f t="shared" si="11"/>
        <v>40819.563296</v>
      </c>
      <c r="Z11" s="376">
        <f t="shared" si="3"/>
        <v>2755.3205224800004</v>
      </c>
      <c r="AA11" s="373">
        <f t="shared" si="12"/>
        <v>7379.8486220815994</v>
      </c>
      <c r="AB11" s="373">
        <f t="shared" si="13"/>
        <v>51024.454120000002</v>
      </c>
      <c r="AC11" s="376">
        <f t="shared" si="14"/>
        <v>2755.3205224800004</v>
      </c>
      <c r="AD11" s="373">
        <f t="shared" si="15"/>
        <v>7379.8486220815994</v>
      </c>
      <c r="AE11" s="373">
        <f t="shared" si="16"/>
        <v>61229.344943999997</v>
      </c>
      <c r="AF11" s="376">
        <f t="shared" si="17"/>
        <v>2755.3205224800004</v>
      </c>
      <c r="AG11" s="373">
        <f t="shared" si="18"/>
        <v>7379.8486220815994</v>
      </c>
      <c r="AH11" s="373">
        <f t="shared" si="19"/>
        <v>71434.235767999999</v>
      </c>
      <c r="AI11" s="376">
        <f>H11*0.27</f>
        <v>2755.3205224800004</v>
      </c>
      <c r="AJ11" s="373">
        <f t="shared" si="20"/>
        <v>7379.8486220815994</v>
      </c>
      <c r="AK11" s="373">
        <f t="shared" si="21"/>
        <v>81639.126592000001</v>
      </c>
      <c r="AL11" s="376">
        <f>H11*0.27</f>
        <v>2755.3205224800004</v>
      </c>
      <c r="AM11" s="373">
        <f t="shared" si="22"/>
        <v>7379.8486220815994</v>
      </c>
      <c r="AN11" s="373">
        <f t="shared" si="23"/>
        <v>91844.017416000002</v>
      </c>
      <c r="AO11" s="377">
        <f>(AN11-88000)*0.35+(88000-AK11)*0.27</f>
        <v>3062.841915760001</v>
      </c>
      <c r="AP11" s="373">
        <f t="shared" si="24"/>
        <v>7072.3272288015987</v>
      </c>
      <c r="AQ11" s="373">
        <f t="shared" si="25"/>
        <v>102048.90824</v>
      </c>
      <c r="AR11" s="377">
        <f t="shared" si="26"/>
        <v>3571.7117883999999</v>
      </c>
      <c r="AS11" s="373">
        <f t="shared" si="27"/>
        <v>6563.4573561615998</v>
      </c>
      <c r="AT11" s="373">
        <f t="shared" si="28"/>
        <v>112253.79906400001</v>
      </c>
      <c r="AU11" s="377">
        <f t="shared" si="29"/>
        <v>3571.7117883999999</v>
      </c>
      <c r="AV11" s="373">
        <f t="shared" si="30"/>
        <v>6563.4573561615998</v>
      </c>
      <c r="AW11" s="373">
        <f t="shared" si="31"/>
        <v>122458.68988799999</v>
      </c>
      <c r="AX11" s="377">
        <f t="shared" si="36"/>
        <v>3571.7117883999999</v>
      </c>
      <c r="AY11" s="373">
        <f t="shared" si="33"/>
        <v>6563.4573561615998</v>
      </c>
      <c r="AZ11" s="371"/>
      <c r="BB11" s="358"/>
    </row>
    <row r="12" spans="1:54" s="380" customFormat="1" ht="30" customHeight="1" x14ac:dyDescent="0.45">
      <c r="A12" s="728"/>
      <c r="B12" s="461" t="s">
        <v>236</v>
      </c>
      <c r="C12" s="231">
        <v>300</v>
      </c>
      <c r="D12" s="238">
        <v>6661</v>
      </c>
      <c r="E12" s="234">
        <v>9992.0399999999991</v>
      </c>
      <c r="F12" s="234">
        <f t="shared" si="37"/>
        <v>16653.04</v>
      </c>
      <c r="G12" s="233">
        <v>359</v>
      </c>
      <c r="H12" s="353">
        <f t="shared" si="34"/>
        <v>9926.1129079999992</v>
      </c>
      <c r="I12" s="463">
        <v>0.39</v>
      </c>
      <c r="J12" s="362">
        <v>7200</v>
      </c>
      <c r="K12" s="361">
        <f t="shared" si="4"/>
        <v>7218.2583116738651</v>
      </c>
      <c r="L12" s="390">
        <v>7218.2583116738651</v>
      </c>
      <c r="M12" s="390">
        <f t="shared" si="5"/>
        <v>0</v>
      </c>
      <c r="N12" s="390">
        <f t="shared" si="0"/>
        <v>7761.5680770686722</v>
      </c>
      <c r="O12" s="372">
        <f t="shared" si="1"/>
        <v>67.881745192799997</v>
      </c>
      <c r="P12" s="373">
        <f t="shared" si="6"/>
        <v>9926.1129079999992</v>
      </c>
      <c r="Q12" s="378">
        <f>(P12*0.15)</f>
        <v>1488.9169361999998</v>
      </c>
      <c r="R12" s="373">
        <f t="shared" si="7"/>
        <v>8369.3142266071991</v>
      </c>
      <c r="S12" s="373">
        <f t="shared" si="2"/>
        <v>19852.225815999998</v>
      </c>
      <c r="T12" s="374">
        <f>(S12-10000)*0.2+(10000-P12)*0.15</f>
        <v>1981.528227</v>
      </c>
      <c r="U12" s="373">
        <f t="shared" si="8"/>
        <v>7876.7029358071986</v>
      </c>
      <c r="V12" s="373">
        <f t="shared" si="9"/>
        <v>29778.338723999997</v>
      </c>
      <c r="W12" s="382">
        <f>(V12-25000)*0.27+(25000-S12)*0.2</f>
        <v>2319.7062922799996</v>
      </c>
      <c r="X12" s="373">
        <f t="shared" si="10"/>
        <v>7538.5248705271988</v>
      </c>
      <c r="Y12" s="373">
        <f t="shared" si="11"/>
        <v>39704.451631999997</v>
      </c>
      <c r="Z12" s="382">
        <f t="shared" si="3"/>
        <v>2680.0504851599999</v>
      </c>
      <c r="AA12" s="373">
        <f t="shared" si="12"/>
        <v>7178.1806776471985</v>
      </c>
      <c r="AB12" s="373">
        <f t="shared" si="13"/>
        <v>49630.564539999992</v>
      </c>
      <c r="AC12" s="382">
        <f t="shared" si="14"/>
        <v>2680.0504851599999</v>
      </c>
      <c r="AD12" s="373">
        <f t="shared" si="15"/>
        <v>7178.1806776471985</v>
      </c>
      <c r="AE12" s="373">
        <f t="shared" si="16"/>
        <v>59556.677447999995</v>
      </c>
      <c r="AF12" s="382">
        <f t="shared" si="17"/>
        <v>2680.0504851599999</v>
      </c>
      <c r="AG12" s="373">
        <f t="shared" si="18"/>
        <v>7178.1806776471985</v>
      </c>
      <c r="AH12" s="373">
        <f t="shared" si="19"/>
        <v>69482.790355999998</v>
      </c>
      <c r="AI12" s="382">
        <f>H12*0.27</f>
        <v>2680.0504851599999</v>
      </c>
      <c r="AJ12" s="373">
        <f t="shared" si="20"/>
        <v>7178.1806776471985</v>
      </c>
      <c r="AK12" s="373">
        <f t="shared" si="21"/>
        <v>79408.903263999993</v>
      </c>
      <c r="AL12" s="376">
        <f>H12*0.27</f>
        <v>2680.0504851599999</v>
      </c>
      <c r="AM12" s="373">
        <f t="shared" si="22"/>
        <v>7178.1806776471985</v>
      </c>
      <c r="AN12" s="373">
        <f t="shared" si="23"/>
        <v>89335.016171999989</v>
      </c>
      <c r="AO12" s="377">
        <f>(AN12-88000)*0.35+(88000-AK12)*0.27</f>
        <v>2786.8517789199977</v>
      </c>
      <c r="AP12" s="373">
        <f t="shared" si="24"/>
        <v>7071.3793838872007</v>
      </c>
      <c r="AQ12" s="373">
        <f t="shared" si="25"/>
        <v>99261.129079999984</v>
      </c>
      <c r="AR12" s="383">
        <f t="shared" si="26"/>
        <v>3474.1395177999993</v>
      </c>
      <c r="AS12" s="373">
        <f t="shared" si="27"/>
        <v>6384.0916450071991</v>
      </c>
      <c r="AT12" s="373">
        <f t="shared" si="28"/>
        <v>109187.24198799999</v>
      </c>
      <c r="AU12" s="383">
        <f t="shared" si="29"/>
        <v>3474.1395177999993</v>
      </c>
      <c r="AV12" s="373">
        <f t="shared" si="30"/>
        <v>6384.0916450071991</v>
      </c>
      <c r="AW12" s="373">
        <f t="shared" si="31"/>
        <v>119113.35489599999</v>
      </c>
      <c r="AX12" s="383">
        <f t="shared" si="36"/>
        <v>3474.1395177999993</v>
      </c>
      <c r="AY12" s="373">
        <f t="shared" si="33"/>
        <v>6384.0916450071991</v>
      </c>
      <c r="AZ12" s="384"/>
      <c r="BB12" s="358"/>
    </row>
    <row r="13" spans="1:54" s="233" customFormat="1" ht="30" customHeight="1" x14ac:dyDescent="0.45">
      <c r="A13" s="728"/>
      <c r="B13" s="461" t="s">
        <v>235</v>
      </c>
      <c r="C13" s="231">
        <v>300</v>
      </c>
      <c r="D13" s="238">
        <v>6661</v>
      </c>
      <c r="E13" s="234">
        <v>9992.0399999999991</v>
      </c>
      <c r="F13" s="234">
        <f t="shared" si="37"/>
        <v>16653.04</v>
      </c>
      <c r="G13" s="233">
        <v>359</v>
      </c>
      <c r="H13" s="353">
        <f t="shared" si="34"/>
        <v>9275.6311040000001</v>
      </c>
      <c r="I13" s="463">
        <v>0.32</v>
      </c>
      <c r="J13" s="362">
        <v>6800</v>
      </c>
      <c r="K13" s="361">
        <f t="shared" si="4"/>
        <v>6799.7383189802667</v>
      </c>
      <c r="L13" s="390">
        <v>6799.7383189802667</v>
      </c>
      <c r="M13" s="390">
        <f t="shared" si="5"/>
        <v>0</v>
      </c>
      <c r="N13" s="390">
        <f t="shared" si="0"/>
        <v>7311.5465795486734</v>
      </c>
      <c r="O13" s="372">
        <f t="shared" si="1"/>
        <v>63.588565286399998</v>
      </c>
      <c r="P13" s="373">
        <f t="shared" si="6"/>
        <v>9275.6311040000001</v>
      </c>
      <c r="Q13" s="378">
        <f>(P13*0.15)</f>
        <v>1391.3446655999999</v>
      </c>
      <c r="R13" s="373">
        <f t="shared" si="7"/>
        <v>7820.6978731136005</v>
      </c>
      <c r="S13" s="373">
        <f t="shared" si="2"/>
        <v>18551.262208</v>
      </c>
      <c r="T13" s="374">
        <f>(S13-10000)*0.2+(10000-P13)*0.15</f>
        <v>1818.907776</v>
      </c>
      <c r="U13" s="373">
        <f t="shared" si="8"/>
        <v>7393.1347627136001</v>
      </c>
      <c r="V13" s="373">
        <f t="shared" si="9"/>
        <v>27826.893312</v>
      </c>
      <c r="W13" s="376">
        <f>(V13-25000)*0.27+(25000-S13)*0.2</f>
        <v>2053.0087526400002</v>
      </c>
      <c r="X13" s="373">
        <f t="shared" si="10"/>
        <v>7159.0337860735999</v>
      </c>
      <c r="Y13" s="373">
        <f t="shared" si="11"/>
        <v>37102.524416</v>
      </c>
      <c r="Z13" s="376">
        <f t="shared" si="3"/>
        <v>2504.4203980800003</v>
      </c>
      <c r="AA13" s="373">
        <f t="shared" si="12"/>
        <v>6707.6221406335999</v>
      </c>
      <c r="AB13" s="373">
        <f t="shared" si="13"/>
        <v>46378.15552</v>
      </c>
      <c r="AC13" s="376">
        <f t="shared" si="14"/>
        <v>2504.4203980800003</v>
      </c>
      <c r="AD13" s="373">
        <f t="shared" si="15"/>
        <v>6707.6221406335999</v>
      </c>
      <c r="AE13" s="373">
        <f t="shared" si="16"/>
        <v>55653.786624</v>
      </c>
      <c r="AF13" s="376">
        <f t="shared" si="17"/>
        <v>2504.4203980800003</v>
      </c>
      <c r="AG13" s="373">
        <f t="shared" si="18"/>
        <v>6707.6221406335999</v>
      </c>
      <c r="AH13" s="373">
        <f t="shared" si="19"/>
        <v>64929.417728</v>
      </c>
      <c r="AI13" s="376">
        <f>H13*0.27</f>
        <v>2504.4203980800003</v>
      </c>
      <c r="AJ13" s="373">
        <f t="shared" si="20"/>
        <v>6707.6221406335999</v>
      </c>
      <c r="AK13" s="373">
        <f t="shared" si="21"/>
        <v>74205.048832</v>
      </c>
      <c r="AL13" s="376">
        <f>H13*0.27</f>
        <v>2504.4203980800003</v>
      </c>
      <c r="AM13" s="373">
        <f t="shared" si="22"/>
        <v>6707.6221406335999</v>
      </c>
      <c r="AN13" s="373">
        <f t="shared" si="23"/>
        <v>83480.679936</v>
      </c>
      <c r="AO13" s="376">
        <f>H13*0.27</f>
        <v>2504.4203980800003</v>
      </c>
      <c r="AP13" s="373">
        <f t="shared" si="24"/>
        <v>6707.6221406335999</v>
      </c>
      <c r="AQ13" s="373">
        <f t="shared" si="25"/>
        <v>92756.311040000001</v>
      </c>
      <c r="AR13" s="377">
        <f>(AQ13-88000)*0.35+(88000-AN13)*0.27</f>
        <v>2884.92528128</v>
      </c>
      <c r="AS13" s="373">
        <f t="shared" si="27"/>
        <v>6327.1172574335997</v>
      </c>
      <c r="AT13" s="373">
        <f t="shared" si="28"/>
        <v>102031.942144</v>
      </c>
      <c r="AU13" s="377">
        <f t="shared" si="29"/>
        <v>3246.4708863999999</v>
      </c>
      <c r="AV13" s="373">
        <f t="shared" si="30"/>
        <v>5965.5716523135998</v>
      </c>
      <c r="AW13" s="373">
        <f t="shared" si="31"/>
        <v>111307.573248</v>
      </c>
      <c r="AX13" s="377">
        <f t="shared" si="36"/>
        <v>3246.4708863999999</v>
      </c>
      <c r="AY13" s="373">
        <f t="shared" si="33"/>
        <v>5965.5716523135998</v>
      </c>
      <c r="AZ13" s="371"/>
      <c r="BB13" s="358"/>
    </row>
    <row r="14" spans="1:54" s="233" customFormat="1" ht="30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37"/>
        <v>16653.04</v>
      </c>
      <c r="G14" s="233">
        <v>359</v>
      </c>
      <c r="H14" s="353">
        <f t="shared" si="34"/>
        <v>8346.371384</v>
      </c>
      <c r="I14" s="463">
        <v>0.22</v>
      </c>
      <c r="J14" s="362">
        <v>6200</v>
      </c>
      <c r="K14" s="361">
        <f t="shared" si="4"/>
        <v>6201.8526151322667</v>
      </c>
      <c r="L14" s="390">
        <v>6201.8526151322667</v>
      </c>
      <c r="M14" s="390">
        <f t="shared" si="5"/>
        <v>0</v>
      </c>
      <c r="N14" s="390">
        <f t="shared" si="0"/>
        <v>6668.6587259486732</v>
      </c>
      <c r="O14" s="372">
        <f t="shared" si="1"/>
        <v>57.455451134400001</v>
      </c>
      <c r="P14" s="373">
        <f t="shared" si="6"/>
        <v>8346.371384</v>
      </c>
      <c r="Q14" s="378">
        <f>(P14*0.15)</f>
        <v>1251.9557075999999</v>
      </c>
      <c r="R14" s="373">
        <f t="shared" si="7"/>
        <v>7036.9602252656005</v>
      </c>
      <c r="S14" s="373">
        <f t="shared" si="2"/>
        <v>16692.742768</v>
      </c>
      <c r="T14" s="374">
        <f>(S14-10000)*0.2+(10000-P14)*0.15</f>
        <v>1586.592846</v>
      </c>
      <c r="U14" s="373">
        <f t="shared" si="8"/>
        <v>6702.323086865601</v>
      </c>
      <c r="V14" s="373">
        <f t="shared" si="9"/>
        <v>25039.114152000002</v>
      </c>
      <c r="W14" s="376">
        <f>(V14-25000)*0.27+(25000-S14)*0.2</f>
        <v>1672.0122674400006</v>
      </c>
      <c r="X14" s="373">
        <f t="shared" si="10"/>
        <v>6616.9036654255997</v>
      </c>
      <c r="Y14" s="373">
        <f t="shared" si="11"/>
        <v>33385.485536</v>
      </c>
      <c r="Z14" s="376">
        <f t="shared" si="3"/>
        <v>2253.5202736800002</v>
      </c>
      <c r="AA14" s="373">
        <f t="shared" si="12"/>
        <v>6035.3956591856004</v>
      </c>
      <c r="AB14" s="373">
        <f t="shared" si="13"/>
        <v>41731.856919999998</v>
      </c>
      <c r="AC14" s="376">
        <f t="shared" si="14"/>
        <v>2253.5202736800002</v>
      </c>
      <c r="AD14" s="373">
        <f t="shared" si="15"/>
        <v>6035.3956591856004</v>
      </c>
      <c r="AE14" s="373">
        <f t="shared" si="16"/>
        <v>50078.228304000004</v>
      </c>
      <c r="AF14" s="376">
        <f t="shared" si="17"/>
        <v>2253.5202736800002</v>
      </c>
      <c r="AG14" s="373">
        <f t="shared" si="18"/>
        <v>6035.3956591856004</v>
      </c>
      <c r="AH14" s="373">
        <f t="shared" si="19"/>
        <v>58424.599688000002</v>
      </c>
      <c r="AI14" s="376">
        <f>H14*0.27</f>
        <v>2253.5202736800002</v>
      </c>
      <c r="AJ14" s="373">
        <f t="shared" si="20"/>
        <v>6035.3956591856004</v>
      </c>
      <c r="AK14" s="373">
        <f t="shared" si="21"/>
        <v>66770.971072</v>
      </c>
      <c r="AL14" s="376">
        <f>H14*0.27</f>
        <v>2253.5202736800002</v>
      </c>
      <c r="AM14" s="373">
        <f t="shared" si="22"/>
        <v>6035.3956591856004</v>
      </c>
      <c r="AN14" s="373">
        <f t="shared" si="23"/>
        <v>75117.342455999998</v>
      </c>
      <c r="AO14" s="376">
        <f>H14*0.27</f>
        <v>2253.5202736800002</v>
      </c>
      <c r="AP14" s="373">
        <f t="shared" si="24"/>
        <v>6035.3956591856004</v>
      </c>
      <c r="AQ14" s="373">
        <f t="shared" si="25"/>
        <v>83463.713839999997</v>
      </c>
      <c r="AR14" s="376">
        <f>H14*0.27</f>
        <v>2253.5202736800002</v>
      </c>
      <c r="AS14" s="373">
        <f t="shared" si="27"/>
        <v>6035.3956591856004</v>
      </c>
      <c r="AT14" s="373">
        <f t="shared" si="28"/>
        <v>91810.085223999995</v>
      </c>
      <c r="AU14" s="377">
        <f>(AT14-88000)*0.35+(88000-AQ14)*0.27</f>
        <v>2558.3270915999992</v>
      </c>
      <c r="AV14" s="373">
        <f t="shared" si="30"/>
        <v>5730.5888412656013</v>
      </c>
      <c r="AW14" s="373">
        <f t="shared" si="31"/>
        <v>100156.45660800001</v>
      </c>
      <c r="AX14" s="377">
        <f t="shared" si="36"/>
        <v>2921.2299843999999</v>
      </c>
      <c r="AY14" s="373">
        <f t="shared" si="33"/>
        <v>5367.6859484656006</v>
      </c>
      <c r="AZ14" s="371"/>
      <c r="BB14" s="358"/>
    </row>
    <row r="15" spans="1:54" s="233" customFormat="1" ht="30" customHeight="1" x14ac:dyDescent="0.45">
      <c r="A15" s="730" t="s">
        <v>15</v>
      </c>
      <c r="B15" s="461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37"/>
        <v>24980.1</v>
      </c>
      <c r="G15" s="233">
        <v>359</v>
      </c>
      <c r="H15" s="353">
        <f t="shared" si="34"/>
        <v>17089.100247999999</v>
      </c>
      <c r="I15" s="463">
        <v>0.67</v>
      </c>
      <c r="J15" s="362">
        <v>11900</v>
      </c>
      <c r="K15" s="361">
        <f t="shared" si="4"/>
        <v>11826.924366229863</v>
      </c>
      <c r="L15" s="390">
        <v>11826.924366229863</v>
      </c>
      <c r="M15" s="390">
        <f t="shared" si="5"/>
        <v>0</v>
      </c>
      <c r="N15" s="390">
        <f t="shared" si="0"/>
        <v>12717.122974440712</v>
      </c>
      <c r="O15" s="372">
        <f t="shared" si="1"/>
        <v>115.15746163679999</v>
      </c>
      <c r="P15" s="373">
        <f t="shared" si="6"/>
        <v>17089.100247999999</v>
      </c>
      <c r="Q15" s="374">
        <f t="shared" si="38"/>
        <v>2917.8200495999999</v>
      </c>
      <c r="R15" s="373">
        <f t="shared" si="7"/>
        <v>14056.122736763198</v>
      </c>
      <c r="S15" s="373">
        <f t="shared" si="2"/>
        <v>34178.200495999998</v>
      </c>
      <c r="T15" s="376">
        <f>(S15-25000)*0.27+(25000-P15)*0.2</f>
        <v>4060.2940843199995</v>
      </c>
      <c r="U15" s="373">
        <f t="shared" si="8"/>
        <v>12913.648702043198</v>
      </c>
      <c r="V15" s="373">
        <f t="shared" si="9"/>
        <v>51267.300743999993</v>
      </c>
      <c r="W15" s="376">
        <f>H15*0.27</f>
        <v>4614.0570669600002</v>
      </c>
      <c r="X15" s="373">
        <f t="shared" si="10"/>
        <v>12359.885719403197</v>
      </c>
      <c r="Y15" s="373">
        <f t="shared" si="11"/>
        <v>68356.400991999995</v>
      </c>
      <c r="Z15" s="376">
        <f t="shared" si="3"/>
        <v>4614.0570669600002</v>
      </c>
      <c r="AA15" s="373">
        <f t="shared" si="12"/>
        <v>12359.885719403197</v>
      </c>
      <c r="AB15" s="373">
        <f t="shared" si="13"/>
        <v>85445.501239999998</v>
      </c>
      <c r="AC15" s="376">
        <f t="shared" si="14"/>
        <v>4614.0570669600002</v>
      </c>
      <c r="AD15" s="373">
        <f t="shared" si="15"/>
        <v>12359.885719403197</v>
      </c>
      <c r="AE15" s="373">
        <f t="shared" si="16"/>
        <v>102534.60148799999</v>
      </c>
      <c r="AF15" s="377">
        <f>(AE15-88000)*0.35+(88000-AB15)*0.27</f>
        <v>5776.8251859999955</v>
      </c>
      <c r="AG15" s="373">
        <f t="shared" si="18"/>
        <v>11197.117600363203</v>
      </c>
      <c r="AH15" s="373">
        <f t="shared" si="19"/>
        <v>119623.70173599999</v>
      </c>
      <c r="AI15" s="377">
        <f>H15*0.35</f>
        <v>5981.1850867999992</v>
      </c>
      <c r="AJ15" s="373">
        <f t="shared" si="20"/>
        <v>10992.757699563197</v>
      </c>
      <c r="AK15" s="373">
        <f t="shared" si="21"/>
        <v>136712.80198399999</v>
      </c>
      <c r="AL15" s="377">
        <f>H15*0.35</f>
        <v>5981.1850867999992</v>
      </c>
      <c r="AM15" s="373">
        <f t="shared" si="22"/>
        <v>10992.757699563197</v>
      </c>
      <c r="AN15" s="373">
        <f t="shared" si="23"/>
        <v>153801.90223199999</v>
      </c>
      <c r="AO15" s="377">
        <f>H15*0.35</f>
        <v>5981.1850867999992</v>
      </c>
      <c r="AP15" s="373">
        <f t="shared" si="24"/>
        <v>10992.757699563197</v>
      </c>
      <c r="AQ15" s="373">
        <f t="shared" si="25"/>
        <v>170891.00248</v>
      </c>
      <c r="AR15" s="377">
        <f>H15*0.35</f>
        <v>5981.1850867999992</v>
      </c>
      <c r="AS15" s="373">
        <f t="shared" si="27"/>
        <v>10992.757699563197</v>
      </c>
      <c r="AT15" s="373">
        <f t="shared" si="28"/>
        <v>187980.102728</v>
      </c>
      <c r="AU15" s="377">
        <f t="shared" ref="AU15:AU22" si="40">H15*0.35</f>
        <v>5981.1850867999992</v>
      </c>
      <c r="AV15" s="373">
        <f t="shared" si="30"/>
        <v>10992.757699563197</v>
      </c>
      <c r="AW15" s="373">
        <f t="shared" si="31"/>
        <v>205069.20297599997</v>
      </c>
      <c r="AX15" s="377">
        <f t="shared" si="36"/>
        <v>5981.1850867999992</v>
      </c>
      <c r="AY15" s="373">
        <f t="shared" si="33"/>
        <v>10992.757699563197</v>
      </c>
      <c r="AZ15" s="371"/>
      <c r="BB15" s="358"/>
    </row>
    <row r="16" spans="1:54" s="233" customFormat="1" ht="30" customHeight="1" x14ac:dyDescent="0.45">
      <c r="A16" s="730"/>
      <c r="B16" s="461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37"/>
        <v>24980.1</v>
      </c>
      <c r="G16" s="233">
        <v>359</v>
      </c>
      <c r="H16" s="353">
        <f t="shared" si="34"/>
        <v>11141.838039999999</v>
      </c>
      <c r="I16" s="363">
        <v>0.35</v>
      </c>
      <c r="J16" s="362">
        <v>8000</v>
      </c>
      <c r="K16" s="361">
        <f t="shared" si="4"/>
        <v>8000.4558616026688</v>
      </c>
      <c r="L16" s="390">
        <v>8000.4558616026688</v>
      </c>
      <c r="M16" s="390">
        <f t="shared" si="5"/>
        <v>0</v>
      </c>
      <c r="N16" s="390">
        <f t="shared" si="0"/>
        <v>8602.6407114007179</v>
      </c>
      <c r="O16" s="372">
        <f t="shared" si="1"/>
        <v>75.905531063999987</v>
      </c>
      <c r="P16" s="373">
        <f t="shared" si="6"/>
        <v>11141.838039999999</v>
      </c>
      <c r="Q16" s="374">
        <f t="shared" si="38"/>
        <v>1728.3676079999998</v>
      </c>
      <c r="R16" s="373">
        <f t="shared" si="7"/>
        <v>9337.5649009359986</v>
      </c>
      <c r="S16" s="373">
        <f t="shared" si="2"/>
        <v>22283.676079999997</v>
      </c>
      <c r="T16" s="374">
        <f>H16*0.2</f>
        <v>2228.367608</v>
      </c>
      <c r="U16" s="373">
        <f t="shared" si="8"/>
        <v>8837.5649009359986</v>
      </c>
      <c r="V16" s="373">
        <f t="shared" si="9"/>
        <v>33425.514119999993</v>
      </c>
      <c r="W16" s="376">
        <f>(V16-25000)*0.27+(25000-S16)*0.2</f>
        <v>2818.1535963999986</v>
      </c>
      <c r="X16" s="373">
        <f t="shared" si="10"/>
        <v>8247.7789125359996</v>
      </c>
      <c r="Y16" s="373">
        <f t="shared" si="11"/>
        <v>44567.352159999995</v>
      </c>
      <c r="Z16" s="376">
        <f t="shared" si="3"/>
        <v>3008.2962708</v>
      </c>
      <c r="AA16" s="373">
        <f t="shared" si="12"/>
        <v>8057.6362381359995</v>
      </c>
      <c r="AB16" s="373">
        <f t="shared" si="13"/>
        <v>55709.190199999997</v>
      </c>
      <c r="AC16" s="376">
        <f t="shared" si="14"/>
        <v>3008.2962708</v>
      </c>
      <c r="AD16" s="373">
        <f t="shared" si="15"/>
        <v>8057.6362381359995</v>
      </c>
      <c r="AE16" s="373">
        <f t="shared" si="16"/>
        <v>66851.028239999985</v>
      </c>
      <c r="AF16" s="376">
        <f t="shared" ref="AF16:AF26" si="41">H16*0.27</f>
        <v>3008.2962708</v>
      </c>
      <c r="AG16" s="373">
        <f t="shared" si="18"/>
        <v>8057.6362381359995</v>
      </c>
      <c r="AH16" s="373">
        <f t="shared" si="19"/>
        <v>77992.866279999987</v>
      </c>
      <c r="AI16" s="376">
        <f>H16*0.27</f>
        <v>3008.2962708</v>
      </c>
      <c r="AJ16" s="373">
        <f t="shared" si="20"/>
        <v>8057.6362381359995</v>
      </c>
      <c r="AK16" s="373">
        <f t="shared" si="21"/>
        <v>89134.70431999999</v>
      </c>
      <c r="AL16" s="377">
        <f>(AK16-88000)*0.35+(88000-AH16)*0.27</f>
        <v>3099.0726163999998</v>
      </c>
      <c r="AM16" s="373">
        <f t="shared" si="22"/>
        <v>7966.8598925359993</v>
      </c>
      <c r="AN16" s="373">
        <f t="shared" si="23"/>
        <v>100276.54235999999</v>
      </c>
      <c r="AO16" s="377">
        <f>H16*0.35</f>
        <v>3899.6433139999995</v>
      </c>
      <c r="AP16" s="373">
        <f t="shared" si="24"/>
        <v>7166.2891949360001</v>
      </c>
      <c r="AQ16" s="373">
        <f t="shared" si="25"/>
        <v>111418.38039999999</v>
      </c>
      <c r="AR16" s="377">
        <f>H16*0.35</f>
        <v>3899.6433139999995</v>
      </c>
      <c r="AS16" s="373">
        <f t="shared" si="27"/>
        <v>7166.2891949360001</v>
      </c>
      <c r="AT16" s="373">
        <f t="shared" si="28"/>
        <v>122560.21843999998</v>
      </c>
      <c r="AU16" s="377">
        <f t="shared" si="40"/>
        <v>3899.6433139999995</v>
      </c>
      <c r="AV16" s="373">
        <f t="shared" si="30"/>
        <v>7166.2891949360001</v>
      </c>
      <c r="AW16" s="373">
        <f t="shared" si="31"/>
        <v>133702.05647999997</v>
      </c>
      <c r="AX16" s="377">
        <f t="shared" si="36"/>
        <v>3899.6433139999995</v>
      </c>
      <c r="AY16" s="373">
        <f t="shared" si="33"/>
        <v>7166.2891949360001</v>
      </c>
      <c r="AZ16" s="371"/>
      <c r="BB16" s="358"/>
    </row>
    <row r="17" spans="1:54" s="233" customFormat="1" ht="30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37"/>
        <v>24980.1</v>
      </c>
      <c r="G17" s="233">
        <v>359</v>
      </c>
      <c r="H17" s="353">
        <f t="shared" si="34"/>
        <v>9283.3185999999987</v>
      </c>
      <c r="I17" s="363">
        <v>0.25</v>
      </c>
      <c r="J17" s="362">
        <v>6804</v>
      </c>
      <c r="K17" s="361">
        <f t="shared" si="4"/>
        <v>6804.684453906666</v>
      </c>
      <c r="L17" s="390">
        <v>6804.684453906666</v>
      </c>
      <c r="M17" s="390">
        <f t="shared" si="5"/>
        <v>0</v>
      </c>
      <c r="N17" s="390">
        <f t="shared" si="0"/>
        <v>7316.8650042007157</v>
      </c>
      <c r="O17" s="372">
        <f t="shared" si="1"/>
        <v>63.639302759999993</v>
      </c>
      <c r="P17" s="373">
        <f t="shared" si="6"/>
        <v>9283.3185999999987</v>
      </c>
      <c r="Q17" s="378">
        <f>P17*0.15</f>
        <v>1392.4977899999997</v>
      </c>
      <c r="R17" s="373">
        <f t="shared" si="7"/>
        <v>7827.1815072399986</v>
      </c>
      <c r="S17" s="373">
        <f t="shared" si="2"/>
        <v>18566.637199999997</v>
      </c>
      <c r="T17" s="374">
        <f>(S17-10000)*0.2+(10000-P17)*0.15</f>
        <v>1820.8296499999997</v>
      </c>
      <c r="U17" s="373">
        <f t="shared" si="8"/>
        <v>7398.8496472399984</v>
      </c>
      <c r="V17" s="373">
        <f t="shared" si="9"/>
        <v>27849.955799999996</v>
      </c>
      <c r="W17" s="376">
        <f>(V17-25000)*0.27+(25000-S17)*0.2</f>
        <v>2056.1606259999999</v>
      </c>
      <c r="X17" s="373">
        <f t="shared" si="10"/>
        <v>7163.5186712399982</v>
      </c>
      <c r="Y17" s="373">
        <f t="shared" si="11"/>
        <v>37133.274399999995</v>
      </c>
      <c r="Z17" s="376">
        <f t="shared" si="3"/>
        <v>2506.4960219999998</v>
      </c>
      <c r="AA17" s="373">
        <f t="shared" si="12"/>
        <v>6713.1832752399987</v>
      </c>
      <c r="AB17" s="373">
        <f t="shared" si="13"/>
        <v>46416.592999999993</v>
      </c>
      <c r="AC17" s="376">
        <f t="shared" si="14"/>
        <v>2506.4960219999998</v>
      </c>
      <c r="AD17" s="373">
        <f t="shared" si="15"/>
        <v>6713.1832752399987</v>
      </c>
      <c r="AE17" s="373">
        <f t="shared" si="16"/>
        <v>55699.911599999992</v>
      </c>
      <c r="AF17" s="376">
        <f t="shared" si="41"/>
        <v>2506.4960219999998</v>
      </c>
      <c r="AG17" s="373">
        <f t="shared" si="18"/>
        <v>6713.1832752399987</v>
      </c>
      <c r="AH17" s="373">
        <f t="shared" si="19"/>
        <v>64983.230199999991</v>
      </c>
      <c r="AI17" s="376">
        <f>H17*0.27</f>
        <v>2506.4960219999998</v>
      </c>
      <c r="AJ17" s="373">
        <f t="shared" si="20"/>
        <v>6713.1832752399987</v>
      </c>
      <c r="AK17" s="373">
        <f t="shared" si="21"/>
        <v>74266.54879999999</v>
      </c>
      <c r="AL17" s="376">
        <f>H17*0.27</f>
        <v>2506.4960219999998</v>
      </c>
      <c r="AM17" s="373">
        <f t="shared" si="22"/>
        <v>6713.1832752399987</v>
      </c>
      <c r="AN17" s="373">
        <f t="shared" si="23"/>
        <v>83549.867399999988</v>
      </c>
      <c r="AO17" s="376">
        <f>H17*0.27</f>
        <v>2506.4960219999998</v>
      </c>
      <c r="AP17" s="373">
        <f t="shared" si="24"/>
        <v>6713.1832752399987</v>
      </c>
      <c r="AQ17" s="373">
        <f t="shared" si="25"/>
        <v>92833.185999999987</v>
      </c>
      <c r="AR17" s="377">
        <f>(AQ17-88000)*0.35+(88000-AN17)*0.27</f>
        <v>2893.1509019999985</v>
      </c>
      <c r="AS17" s="373">
        <f t="shared" si="27"/>
        <v>6326.5283952399996</v>
      </c>
      <c r="AT17" s="373">
        <f t="shared" si="28"/>
        <v>102116.50459999999</v>
      </c>
      <c r="AU17" s="377">
        <f t="shared" si="40"/>
        <v>3249.1615099999995</v>
      </c>
      <c r="AV17" s="373">
        <f t="shared" si="30"/>
        <v>5970.5177872399981</v>
      </c>
      <c r="AW17" s="373">
        <f t="shared" si="31"/>
        <v>111399.82319999998</v>
      </c>
      <c r="AX17" s="377">
        <f t="shared" si="36"/>
        <v>3249.1615099999995</v>
      </c>
      <c r="AY17" s="373">
        <f t="shared" si="33"/>
        <v>5970.5177872399981</v>
      </c>
      <c r="AZ17" s="371"/>
      <c r="BB17" s="358"/>
    </row>
    <row r="18" spans="1:54" s="233" customFormat="1" ht="30" customHeight="1" x14ac:dyDescent="0.45">
      <c r="A18" s="730"/>
      <c r="B18" s="461" t="s">
        <v>32</v>
      </c>
      <c r="C18" s="231">
        <v>450</v>
      </c>
      <c r="D18" s="234">
        <v>4996.0199999999995</v>
      </c>
      <c r="E18" s="234">
        <v>14988.06</v>
      </c>
      <c r="F18" s="234">
        <f t="shared" si="37"/>
        <v>19984.079999999998</v>
      </c>
      <c r="G18" s="233">
        <v>359</v>
      </c>
      <c r="H18" s="353">
        <f t="shared" si="34"/>
        <v>13418.524354000001</v>
      </c>
      <c r="I18" s="463">
        <v>0.63</v>
      </c>
      <c r="J18" s="362">
        <v>9500</v>
      </c>
      <c r="K18" s="361">
        <f t="shared" si="4"/>
        <v>9465.2758360302669</v>
      </c>
      <c r="L18" s="390">
        <v>9465.2758360302669</v>
      </c>
      <c r="M18" s="390">
        <f t="shared" si="5"/>
        <v>0</v>
      </c>
      <c r="N18" s="390">
        <f t="shared" si="0"/>
        <v>10177.715952720717</v>
      </c>
      <c r="O18" s="372">
        <f t="shared" si="1"/>
        <v>90.931660736400005</v>
      </c>
      <c r="P18" s="373">
        <f t="shared" si="6"/>
        <v>13418.524354000001</v>
      </c>
      <c r="Q18" s="374">
        <f t="shared" si="38"/>
        <v>2183.7048708000002</v>
      </c>
      <c r="R18" s="373">
        <f t="shared" si="7"/>
        <v>11143.887822463601</v>
      </c>
      <c r="S18" s="373">
        <f t="shared" si="2"/>
        <v>26837.048708000002</v>
      </c>
      <c r="T18" s="376">
        <f>(S18-25000)*0.27+(25000-P18)*0.2</f>
        <v>2812.2982803600003</v>
      </c>
      <c r="U18" s="373">
        <f t="shared" si="8"/>
        <v>10515.2944129036</v>
      </c>
      <c r="V18" s="373">
        <f t="shared" si="9"/>
        <v>40255.573062000003</v>
      </c>
      <c r="W18" s="376">
        <f>H18*0.27</f>
        <v>3623.0015755800005</v>
      </c>
      <c r="X18" s="373">
        <f t="shared" si="10"/>
        <v>9704.5911176836016</v>
      </c>
      <c r="Y18" s="373">
        <f t="shared" si="11"/>
        <v>53674.097416000004</v>
      </c>
      <c r="Z18" s="376">
        <f t="shared" si="3"/>
        <v>3623.0015755800005</v>
      </c>
      <c r="AA18" s="373">
        <f t="shared" si="12"/>
        <v>9704.5911176836016</v>
      </c>
      <c r="AB18" s="373">
        <f t="shared" si="13"/>
        <v>67092.621769999998</v>
      </c>
      <c r="AC18" s="376">
        <f t="shared" si="14"/>
        <v>3623.0015755800005</v>
      </c>
      <c r="AD18" s="373">
        <f t="shared" si="15"/>
        <v>9704.5911176836016</v>
      </c>
      <c r="AE18" s="373">
        <f t="shared" si="16"/>
        <v>80511.146124000006</v>
      </c>
      <c r="AF18" s="376">
        <f t="shared" si="41"/>
        <v>3623.0015755800005</v>
      </c>
      <c r="AG18" s="373">
        <f t="shared" si="18"/>
        <v>9704.5911176836016</v>
      </c>
      <c r="AH18" s="373">
        <f t="shared" si="19"/>
        <v>93929.670478000015</v>
      </c>
      <c r="AI18" s="377">
        <f>(AH18-88000)*0.35+(88000-AE18)*0.27</f>
        <v>4097.3752138200034</v>
      </c>
      <c r="AJ18" s="373">
        <f t="shared" si="20"/>
        <v>9230.2174794435978</v>
      </c>
      <c r="AK18" s="373">
        <f t="shared" si="21"/>
        <v>107348.19483200001</v>
      </c>
      <c r="AL18" s="377">
        <f>H18*0.35</f>
        <v>4696.4835239000004</v>
      </c>
      <c r="AM18" s="373">
        <f t="shared" si="22"/>
        <v>8631.1091693636008</v>
      </c>
      <c r="AN18" s="373">
        <f t="shared" si="23"/>
        <v>120766.719186</v>
      </c>
      <c r="AO18" s="377">
        <f>H18*0.35</f>
        <v>4696.4835239000004</v>
      </c>
      <c r="AP18" s="373">
        <f t="shared" si="24"/>
        <v>8631.1091693636008</v>
      </c>
      <c r="AQ18" s="373">
        <f t="shared" si="25"/>
        <v>134185.24354</v>
      </c>
      <c r="AR18" s="377">
        <f>H18*0.35</f>
        <v>4696.4835239000004</v>
      </c>
      <c r="AS18" s="373">
        <f t="shared" si="27"/>
        <v>8631.1091693636008</v>
      </c>
      <c r="AT18" s="373">
        <f t="shared" si="28"/>
        <v>147603.76789400002</v>
      </c>
      <c r="AU18" s="377">
        <f t="shared" si="40"/>
        <v>4696.4835239000004</v>
      </c>
      <c r="AV18" s="373">
        <f t="shared" si="30"/>
        <v>8631.1091693636008</v>
      </c>
      <c r="AW18" s="373">
        <f t="shared" si="31"/>
        <v>161022.29224800001</v>
      </c>
      <c r="AX18" s="377">
        <f t="shared" si="36"/>
        <v>4696.4835239000004</v>
      </c>
      <c r="AY18" s="373">
        <f t="shared" si="33"/>
        <v>8631.1091693636008</v>
      </c>
      <c r="AZ18" s="371"/>
      <c r="BB18" s="358"/>
    </row>
    <row r="19" spans="1:54" s="233" customFormat="1" ht="30" customHeight="1" x14ac:dyDescent="0.45">
      <c r="A19" s="730"/>
      <c r="B19" s="461" t="s">
        <v>237</v>
      </c>
      <c r="C19" s="231">
        <v>450</v>
      </c>
      <c r="D19" s="234">
        <v>4996.0199999999995</v>
      </c>
      <c r="E19" s="234">
        <v>14988.06</v>
      </c>
      <c r="F19" s="234">
        <f t="shared" si="37"/>
        <v>19984.079999999998</v>
      </c>
      <c r="G19" s="233">
        <v>359</v>
      </c>
      <c r="H19" s="353">
        <f t="shared" si="34"/>
        <v>11606.4679</v>
      </c>
      <c r="I19" s="463">
        <v>0.5</v>
      </c>
      <c r="J19" s="362">
        <v>8300</v>
      </c>
      <c r="K19" s="361">
        <f t="shared" si="4"/>
        <v>8299.3987135266634</v>
      </c>
      <c r="L19" s="390">
        <v>8299.3987135266634</v>
      </c>
      <c r="M19" s="390">
        <f t="shared" si="5"/>
        <v>0</v>
      </c>
      <c r="N19" s="390">
        <f t="shared" si="0"/>
        <v>8924.084638200713</v>
      </c>
      <c r="O19" s="372">
        <f t="shared" si="1"/>
        <v>78.972088139999997</v>
      </c>
      <c r="P19" s="373">
        <f t="shared" si="6"/>
        <v>11606.4679</v>
      </c>
      <c r="Q19" s="374">
        <f t="shared" si="38"/>
        <v>1821.29358</v>
      </c>
      <c r="R19" s="373">
        <f t="shared" si="7"/>
        <v>9706.2022318599993</v>
      </c>
      <c r="S19" s="373">
        <f t="shared" si="2"/>
        <v>23212.935799999999</v>
      </c>
      <c r="T19" s="374">
        <f>H19*0.2</f>
        <v>2321.29358</v>
      </c>
      <c r="U19" s="373">
        <f t="shared" si="8"/>
        <v>9206.2022318599993</v>
      </c>
      <c r="V19" s="373">
        <f t="shared" si="9"/>
        <v>34819.403699999995</v>
      </c>
      <c r="W19" s="376">
        <f>(V19-25000)*0.27+(25000-S19)*0.2</f>
        <v>3008.6518389999992</v>
      </c>
      <c r="X19" s="373">
        <f t="shared" si="10"/>
        <v>8518.8439728599988</v>
      </c>
      <c r="Y19" s="373">
        <f t="shared" si="11"/>
        <v>46425.871599999999</v>
      </c>
      <c r="Z19" s="376">
        <f t="shared" si="3"/>
        <v>3133.746333</v>
      </c>
      <c r="AA19" s="373">
        <f t="shared" si="12"/>
        <v>8393.7494788599979</v>
      </c>
      <c r="AB19" s="373">
        <f t="shared" si="13"/>
        <v>58032.339500000002</v>
      </c>
      <c r="AC19" s="376">
        <f t="shared" si="14"/>
        <v>3133.746333</v>
      </c>
      <c r="AD19" s="373">
        <f t="shared" si="15"/>
        <v>8393.7494788599979</v>
      </c>
      <c r="AE19" s="373">
        <f t="shared" si="16"/>
        <v>69638.807399999991</v>
      </c>
      <c r="AF19" s="376">
        <f t="shared" si="41"/>
        <v>3133.746333</v>
      </c>
      <c r="AG19" s="373">
        <f t="shared" si="18"/>
        <v>8393.7494788599979</v>
      </c>
      <c r="AH19" s="373">
        <f t="shared" si="19"/>
        <v>81245.275299999994</v>
      </c>
      <c r="AI19" s="376">
        <f t="shared" ref="AI19:AI26" si="42">H19*0.27</f>
        <v>3133.746333</v>
      </c>
      <c r="AJ19" s="373">
        <f t="shared" si="20"/>
        <v>8393.7494788599979</v>
      </c>
      <c r="AK19" s="373">
        <f t="shared" si="21"/>
        <v>92851.743199999997</v>
      </c>
      <c r="AL19" s="377">
        <f>(AK19-88000)*0.35+(88000-AH19)*0.27</f>
        <v>3521.8857890000008</v>
      </c>
      <c r="AM19" s="373">
        <f t="shared" si="22"/>
        <v>8005.610022859998</v>
      </c>
      <c r="AN19" s="373">
        <f t="shared" si="23"/>
        <v>104458.2111</v>
      </c>
      <c r="AO19" s="377">
        <f>H19*0.35</f>
        <v>4062.2637649999997</v>
      </c>
      <c r="AP19" s="373">
        <f t="shared" si="24"/>
        <v>7465.2320468599992</v>
      </c>
      <c r="AQ19" s="373">
        <f t="shared" si="25"/>
        <v>116064.679</v>
      </c>
      <c r="AR19" s="377">
        <f>H19*0.35</f>
        <v>4062.2637649999997</v>
      </c>
      <c r="AS19" s="373">
        <f t="shared" si="27"/>
        <v>7465.2320468599992</v>
      </c>
      <c r="AT19" s="373">
        <f t="shared" si="28"/>
        <v>127671.14689999999</v>
      </c>
      <c r="AU19" s="377">
        <f t="shared" si="40"/>
        <v>4062.2637649999997</v>
      </c>
      <c r="AV19" s="373">
        <f t="shared" si="30"/>
        <v>7465.2320468599992</v>
      </c>
      <c r="AW19" s="373">
        <f t="shared" si="31"/>
        <v>139277.61479999998</v>
      </c>
      <c r="AX19" s="377">
        <f t="shared" si="36"/>
        <v>4062.2637649999997</v>
      </c>
      <c r="AY19" s="373">
        <f t="shared" si="33"/>
        <v>7465.2320468599992</v>
      </c>
      <c r="AZ19" s="371"/>
      <c r="BB19" s="358"/>
    </row>
    <row r="20" spans="1:54" s="233" customFormat="1" ht="30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34"/>
        <v>10026.726375999999</v>
      </c>
      <c r="I20" s="463">
        <v>0.57999999999999996</v>
      </c>
      <c r="J20" s="362">
        <v>7300</v>
      </c>
      <c r="K20" s="361">
        <f t="shared" si="4"/>
        <v>7282.9930169850659</v>
      </c>
      <c r="L20" s="390">
        <v>7282.9930169850659</v>
      </c>
      <c r="M20" s="390">
        <f t="shared" si="5"/>
        <v>0</v>
      </c>
      <c r="N20" s="390">
        <f t="shared" si="0"/>
        <v>7831.1752870807159</v>
      </c>
      <c r="O20" s="372">
        <f t="shared" si="1"/>
        <v>68.545794081599993</v>
      </c>
      <c r="P20" s="373">
        <f t="shared" si="6"/>
        <v>10026.726375999999</v>
      </c>
      <c r="Q20" s="374">
        <f t="shared" si="38"/>
        <v>1505.3452751999998</v>
      </c>
      <c r="R20" s="373">
        <f t="shared" si="7"/>
        <v>8452.8353067183998</v>
      </c>
      <c r="S20" s="373">
        <f t="shared" si="2"/>
        <v>20053.452751999997</v>
      </c>
      <c r="T20" s="374">
        <f>H20*0.2</f>
        <v>2005.3452751999998</v>
      </c>
      <c r="U20" s="373">
        <f t="shared" si="8"/>
        <v>7952.8353067183998</v>
      </c>
      <c r="V20" s="373">
        <f t="shared" si="9"/>
        <v>30080.179127999996</v>
      </c>
      <c r="W20" s="376">
        <f>(V20-25000)*0.27+(25000-S20)*0.2</f>
        <v>2360.9578141599995</v>
      </c>
      <c r="X20" s="373">
        <f t="shared" si="10"/>
        <v>7597.2227677583996</v>
      </c>
      <c r="Y20" s="373">
        <f t="shared" si="11"/>
        <v>40106.905503999995</v>
      </c>
      <c r="Z20" s="376">
        <f t="shared" si="3"/>
        <v>2707.2161215199999</v>
      </c>
      <c r="AA20" s="373">
        <f t="shared" si="12"/>
        <v>7250.9644603983998</v>
      </c>
      <c r="AB20" s="373">
        <f t="shared" si="13"/>
        <v>50133.631879999994</v>
      </c>
      <c r="AC20" s="376">
        <f t="shared" si="14"/>
        <v>2707.2161215199999</v>
      </c>
      <c r="AD20" s="373">
        <f t="shared" si="15"/>
        <v>7250.9644603983998</v>
      </c>
      <c r="AE20" s="373">
        <f t="shared" si="16"/>
        <v>60160.358255999992</v>
      </c>
      <c r="AF20" s="376">
        <f t="shared" si="41"/>
        <v>2707.2161215199999</v>
      </c>
      <c r="AG20" s="373">
        <f t="shared" si="18"/>
        <v>7250.9644603983998</v>
      </c>
      <c r="AH20" s="373">
        <f t="shared" si="19"/>
        <v>70187.084631999984</v>
      </c>
      <c r="AI20" s="376">
        <f t="shared" si="42"/>
        <v>2707.2161215199999</v>
      </c>
      <c r="AJ20" s="373">
        <f t="shared" si="20"/>
        <v>7250.9644603983998</v>
      </c>
      <c r="AK20" s="373">
        <f t="shared" si="21"/>
        <v>80213.81100799999</v>
      </c>
      <c r="AL20" s="376">
        <f t="shared" ref="AL20:AL27" si="43">H20*0.27</f>
        <v>2707.2161215199999</v>
      </c>
      <c r="AM20" s="373">
        <f t="shared" si="22"/>
        <v>7250.9644603983998</v>
      </c>
      <c r="AN20" s="373">
        <f t="shared" si="23"/>
        <v>90240.537383999996</v>
      </c>
      <c r="AO20" s="377">
        <f>(AN20-88000)*0.35+(88000-AK20)*0.27</f>
        <v>2886.4591122400011</v>
      </c>
      <c r="AP20" s="373">
        <f t="shared" si="24"/>
        <v>7071.7214696783976</v>
      </c>
      <c r="AQ20" s="373">
        <f t="shared" si="25"/>
        <v>100267.26375999999</v>
      </c>
      <c r="AR20" s="377">
        <f>H20*0.35</f>
        <v>3509.3542315999994</v>
      </c>
      <c r="AS20" s="373">
        <f t="shared" si="27"/>
        <v>6448.8263503183998</v>
      </c>
      <c r="AT20" s="373">
        <f t="shared" si="28"/>
        <v>110293.99013599998</v>
      </c>
      <c r="AU20" s="377">
        <f t="shared" si="40"/>
        <v>3509.3542315999994</v>
      </c>
      <c r="AV20" s="373">
        <f t="shared" si="30"/>
        <v>6448.8263503183998</v>
      </c>
      <c r="AW20" s="373">
        <f t="shared" si="31"/>
        <v>120320.71651199998</v>
      </c>
      <c r="AX20" s="377">
        <f t="shared" si="36"/>
        <v>3509.3542315999994</v>
      </c>
      <c r="AY20" s="373">
        <f t="shared" si="33"/>
        <v>6448.8263503183998</v>
      </c>
      <c r="AZ20" s="371"/>
      <c r="BB20" s="358"/>
    </row>
    <row r="21" spans="1:54" s="233" customFormat="1" ht="30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34"/>
        <v>9747.9484599999996</v>
      </c>
      <c r="I21" s="363">
        <v>0.55000000000000004</v>
      </c>
      <c r="J21" s="362">
        <v>7100</v>
      </c>
      <c r="K21" s="361">
        <f t="shared" si="4"/>
        <v>7103.627305830666</v>
      </c>
      <c r="L21" s="390">
        <v>7103.627305830666</v>
      </c>
      <c r="M21" s="390">
        <f t="shared" si="5"/>
        <v>0</v>
      </c>
      <c r="N21" s="390">
        <f t="shared" si="0"/>
        <v>7638.3089310007153</v>
      </c>
      <c r="O21" s="372">
        <f t="shared" si="1"/>
        <v>66.705859836000002</v>
      </c>
      <c r="P21" s="373">
        <f t="shared" si="6"/>
        <v>9747.9484599999996</v>
      </c>
      <c r="Q21" s="378">
        <f>P21*0.15</f>
        <v>1462.1922689999999</v>
      </c>
      <c r="R21" s="373">
        <f t="shared" si="7"/>
        <v>8219.0503311640005</v>
      </c>
      <c r="S21" s="373">
        <f t="shared" si="2"/>
        <v>19495.896919999999</v>
      </c>
      <c r="T21" s="374">
        <f>(S21-10000)*0.2+(10000-P21)*0.15</f>
        <v>1936.9871150000001</v>
      </c>
      <c r="U21" s="373">
        <f t="shared" si="8"/>
        <v>7744.2554851639998</v>
      </c>
      <c r="V21" s="373">
        <f t="shared" si="9"/>
        <v>29243.845379999999</v>
      </c>
      <c r="W21" s="376">
        <f>(V21-25000)*0.27+(25000-S21)*0.2</f>
        <v>2246.6588686</v>
      </c>
      <c r="X21" s="373">
        <f t="shared" si="10"/>
        <v>7434.5837315640001</v>
      </c>
      <c r="Y21" s="373">
        <f t="shared" si="11"/>
        <v>38991.793839999998</v>
      </c>
      <c r="Z21" s="376">
        <f t="shared" si="3"/>
        <v>2631.9460841999999</v>
      </c>
      <c r="AA21" s="373">
        <f t="shared" si="12"/>
        <v>7049.2965159639998</v>
      </c>
      <c r="AB21" s="373">
        <f t="shared" si="13"/>
        <v>48739.742299999998</v>
      </c>
      <c r="AC21" s="376">
        <f t="shared" si="14"/>
        <v>2631.9460841999999</v>
      </c>
      <c r="AD21" s="373">
        <f t="shared" si="15"/>
        <v>7049.2965159639998</v>
      </c>
      <c r="AE21" s="373">
        <f t="shared" si="16"/>
        <v>58487.690759999998</v>
      </c>
      <c r="AF21" s="376">
        <f t="shared" si="41"/>
        <v>2631.9460841999999</v>
      </c>
      <c r="AG21" s="373">
        <f t="shared" si="18"/>
        <v>7049.2965159639998</v>
      </c>
      <c r="AH21" s="373">
        <f t="shared" si="19"/>
        <v>68235.639219999997</v>
      </c>
      <c r="AI21" s="376">
        <f t="shared" si="42"/>
        <v>2631.9460841999999</v>
      </c>
      <c r="AJ21" s="373">
        <f t="shared" si="20"/>
        <v>7049.2965159639998</v>
      </c>
      <c r="AK21" s="373">
        <f t="shared" si="21"/>
        <v>77983.587679999997</v>
      </c>
      <c r="AL21" s="376">
        <f t="shared" si="43"/>
        <v>2631.9460841999999</v>
      </c>
      <c r="AM21" s="373">
        <f t="shared" si="22"/>
        <v>7049.2965159639998</v>
      </c>
      <c r="AN21" s="373">
        <f t="shared" si="23"/>
        <v>87731.536139999997</v>
      </c>
      <c r="AO21" s="376">
        <f t="shared" ref="AO21:AO27" si="44">H21*0.27</f>
        <v>2631.9460841999999</v>
      </c>
      <c r="AP21" s="373">
        <f t="shared" si="24"/>
        <v>7049.2965159639998</v>
      </c>
      <c r="AQ21" s="373">
        <f t="shared" si="25"/>
        <v>97479.484599999996</v>
      </c>
      <c r="AR21" s="377">
        <f>(AQ21-88000)*0.35+(88000-AN21)*0.27</f>
        <v>3390.3048521999995</v>
      </c>
      <c r="AS21" s="373">
        <f t="shared" si="27"/>
        <v>6290.9377479640007</v>
      </c>
      <c r="AT21" s="373">
        <f t="shared" si="28"/>
        <v>107227.43306</v>
      </c>
      <c r="AU21" s="377">
        <f t="shared" si="40"/>
        <v>3411.7819609999997</v>
      </c>
      <c r="AV21" s="373">
        <f t="shared" si="30"/>
        <v>6269.460639164</v>
      </c>
      <c r="AW21" s="373">
        <f t="shared" si="31"/>
        <v>116975.38152</v>
      </c>
      <c r="AX21" s="377">
        <f t="shared" si="36"/>
        <v>3411.7819609999997</v>
      </c>
      <c r="AY21" s="373">
        <f t="shared" si="33"/>
        <v>6269.460639164</v>
      </c>
      <c r="AZ21" s="371"/>
      <c r="BB21" s="358"/>
    </row>
    <row r="22" spans="1:54" s="233" customFormat="1" ht="30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34"/>
        <v>9376.2445719999996</v>
      </c>
      <c r="I22" s="463">
        <v>0.51</v>
      </c>
      <c r="J22" s="362">
        <v>6900</v>
      </c>
      <c r="K22" s="361">
        <f t="shared" si="4"/>
        <v>6864.4730242914638</v>
      </c>
      <c r="L22" s="390">
        <v>6864.4730242914638</v>
      </c>
      <c r="M22" s="390">
        <f t="shared" si="5"/>
        <v>0</v>
      </c>
      <c r="N22" s="390">
        <f t="shared" si="0"/>
        <v>7381.1537895607134</v>
      </c>
      <c r="O22" s="372">
        <f t="shared" si="1"/>
        <v>64.252614175199994</v>
      </c>
      <c r="P22" s="373">
        <f t="shared" si="6"/>
        <v>9376.2445719999996</v>
      </c>
      <c r="Q22" s="378">
        <f>P22*0.15</f>
        <v>1406.4366857999999</v>
      </c>
      <c r="R22" s="373">
        <f t="shared" si="7"/>
        <v>7905.5552720247997</v>
      </c>
      <c r="S22" s="373">
        <f t="shared" si="2"/>
        <v>18752.489143999999</v>
      </c>
      <c r="T22" s="374">
        <f>(S22-10000)*0.2+(10000-P22)*0.15</f>
        <v>1844.0611430000001</v>
      </c>
      <c r="U22" s="373">
        <f t="shared" si="8"/>
        <v>7467.9308148247992</v>
      </c>
      <c r="V22" s="373">
        <f t="shared" si="9"/>
        <v>28128.733715999999</v>
      </c>
      <c r="W22" s="376">
        <f>(V22-25000)*0.27+(25000-S22)*0.2</f>
        <v>2094.2602745200002</v>
      </c>
      <c r="X22" s="373">
        <f t="shared" si="10"/>
        <v>7217.7316833047989</v>
      </c>
      <c r="Y22" s="373">
        <f t="shared" si="11"/>
        <v>37504.978287999998</v>
      </c>
      <c r="Z22" s="376">
        <f t="shared" si="3"/>
        <v>2531.5860344400003</v>
      </c>
      <c r="AA22" s="373">
        <f t="shared" si="12"/>
        <v>6780.4059233847984</v>
      </c>
      <c r="AB22" s="373">
        <f t="shared" si="13"/>
        <v>46881.222859999994</v>
      </c>
      <c r="AC22" s="376">
        <f t="shared" si="14"/>
        <v>2531.5860344400003</v>
      </c>
      <c r="AD22" s="373">
        <f t="shared" si="15"/>
        <v>6780.4059233847984</v>
      </c>
      <c r="AE22" s="373">
        <f t="shared" si="16"/>
        <v>56257.467431999998</v>
      </c>
      <c r="AF22" s="376">
        <f t="shared" si="41"/>
        <v>2531.5860344400003</v>
      </c>
      <c r="AG22" s="373">
        <f t="shared" si="18"/>
        <v>6780.4059233847984</v>
      </c>
      <c r="AH22" s="373">
        <f t="shared" si="19"/>
        <v>65633.712004000001</v>
      </c>
      <c r="AI22" s="376">
        <f t="shared" si="42"/>
        <v>2531.5860344400003</v>
      </c>
      <c r="AJ22" s="373">
        <f t="shared" si="20"/>
        <v>6780.4059233847984</v>
      </c>
      <c r="AK22" s="373">
        <f t="shared" si="21"/>
        <v>75009.956575999997</v>
      </c>
      <c r="AL22" s="376">
        <f t="shared" si="43"/>
        <v>2531.5860344400003</v>
      </c>
      <c r="AM22" s="373">
        <f t="shared" si="22"/>
        <v>6780.4059233847984</v>
      </c>
      <c r="AN22" s="373">
        <f t="shared" si="23"/>
        <v>84386.201147999993</v>
      </c>
      <c r="AO22" s="376">
        <f t="shared" si="44"/>
        <v>2531.5860344400003</v>
      </c>
      <c r="AP22" s="373">
        <f t="shared" si="24"/>
        <v>6780.4059233847984</v>
      </c>
      <c r="AQ22" s="373">
        <f t="shared" si="25"/>
        <v>93762.445719999989</v>
      </c>
      <c r="AR22" s="377">
        <f>(AQ22-88000)*0.35+(88000-AN22)*0.27</f>
        <v>2992.581692039998</v>
      </c>
      <c r="AS22" s="373">
        <f t="shared" si="27"/>
        <v>6319.4102657848016</v>
      </c>
      <c r="AT22" s="373">
        <f t="shared" si="28"/>
        <v>103138.690292</v>
      </c>
      <c r="AU22" s="377">
        <f t="shared" si="40"/>
        <v>3281.6856001999995</v>
      </c>
      <c r="AV22" s="373">
        <f t="shared" si="30"/>
        <v>6030.3063576247996</v>
      </c>
      <c r="AW22" s="373">
        <f t="shared" si="31"/>
        <v>112514.934864</v>
      </c>
      <c r="AX22" s="377">
        <f t="shared" si="36"/>
        <v>3281.6856001999995</v>
      </c>
      <c r="AY22" s="373">
        <f t="shared" si="33"/>
        <v>6030.3063576247996</v>
      </c>
      <c r="AZ22" s="371"/>
      <c r="BB22" s="358"/>
    </row>
    <row r="23" spans="1:54" s="233" customFormat="1" ht="30" customHeight="1" x14ac:dyDescent="0.45">
      <c r="A23" s="730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34"/>
        <v>6309.6874959999996</v>
      </c>
      <c r="I23" s="464">
        <v>0.18</v>
      </c>
      <c r="J23" s="362">
        <v>4900</v>
      </c>
      <c r="K23" s="361">
        <f t="shared" si="4"/>
        <v>4809.5585346064008</v>
      </c>
      <c r="L23" s="390">
        <v>4809.5585346064008</v>
      </c>
      <c r="M23" s="390">
        <f t="shared" si="5"/>
        <v>0</v>
      </c>
      <c r="N23" s="390">
        <f t="shared" si="0"/>
        <v>5171.5683167810757</v>
      </c>
      <c r="O23" s="372">
        <f t="shared" si="1"/>
        <v>44.013337473599996</v>
      </c>
      <c r="P23" s="373">
        <f t="shared" si="6"/>
        <v>6309.6874959999996</v>
      </c>
      <c r="Q23" s="378">
        <f>P23*0.15</f>
        <v>946.45312439999987</v>
      </c>
      <c r="R23" s="373">
        <f t="shared" si="7"/>
        <v>5319.2210341263999</v>
      </c>
      <c r="S23" s="373">
        <f t="shared" si="2"/>
        <v>12619.374991999999</v>
      </c>
      <c r="T23" s="374">
        <f>(S23-10000)*0.2+(10000-P23)*0.15</f>
        <v>1077.4218739999999</v>
      </c>
      <c r="U23" s="373">
        <f t="shared" si="8"/>
        <v>5188.2522845264002</v>
      </c>
      <c r="V23" s="373">
        <f t="shared" si="9"/>
        <v>18929.062488</v>
      </c>
      <c r="W23" s="374">
        <f>H23*0.2</f>
        <v>1261.9374992</v>
      </c>
      <c r="X23" s="373">
        <f t="shared" si="10"/>
        <v>5003.7366593263996</v>
      </c>
      <c r="Y23" s="373">
        <f t="shared" si="11"/>
        <v>25238.749983999998</v>
      </c>
      <c r="Z23" s="376">
        <f>(Y23-25000)*0.27+(25000-V23)*0.2</f>
        <v>1278.6499980799997</v>
      </c>
      <c r="AA23" s="373">
        <f t="shared" si="12"/>
        <v>4987.0241604463999</v>
      </c>
      <c r="AB23" s="373">
        <f t="shared" si="13"/>
        <v>31548.437479999997</v>
      </c>
      <c r="AC23" s="376">
        <f t="shared" si="14"/>
        <v>1703.61562392</v>
      </c>
      <c r="AD23" s="373">
        <f t="shared" si="15"/>
        <v>4562.0585346063999</v>
      </c>
      <c r="AE23" s="373">
        <f t="shared" si="16"/>
        <v>37858.124975999999</v>
      </c>
      <c r="AF23" s="376">
        <f t="shared" si="41"/>
        <v>1703.61562392</v>
      </c>
      <c r="AG23" s="373">
        <f t="shared" si="18"/>
        <v>4562.0585346063999</v>
      </c>
      <c r="AH23" s="373">
        <f t="shared" si="19"/>
        <v>44167.812471999998</v>
      </c>
      <c r="AI23" s="376">
        <f t="shared" si="42"/>
        <v>1703.61562392</v>
      </c>
      <c r="AJ23" s="373">
        <f t="shared" si="20"/>
        <v>4562.0585346063999</v>
      </c>
      <c r="AK23" s="373">
        <f t="shared" si="21"/>
        <v>50477.499967999996</v>
      </c>
      <c r="AL23" s="376">
        <f t="shared" si="43"/>
        <v>1703.61562392</v>
      </c>
      <c r="AM23" s="373">
        <f t="shared" si="22"/>
        <v>4562.0585346063999</v>
      </c>
      <c r="AN23" s="373">
        <f t="shared" si="23"/>
        <v>56787.187463999995</v>
      </c>
      <c r="AO23" s="376">
        <f t="shared" si="44"/>
        <v>1703.61562392</v>
      </c>
      <c r="AP23" s="373">
        <f t="shared" si="24"/>
        <v>4562.0585346063999</v>
      </c>
      <c r="AQ23" s="373">
        <f t="shared" si="25"/>
        <v>63096.874959999994</v>
      </c>
      <c r="AR23" s="376">
        <f>H23*0.27</f>
        <v>1703.61562392</v>
      </c>
      <c r="AS23" s="373">
        <f t="shared" si="27"/>
        <v>4562.0585346063999</v>
      </c>
      <c r="AT23" s="373">
        <f t="shared" si="28"/>
        <v>69406.562456</v>
      </c>
      <c r="AU23" s="376">
        <f>H23*0.27</f>
        <v>1703.61562392</v>
      </c>
      <c r="AV23" s="373">
        <f t="shared" si="30"/>
        <v>4562.0585346063999</v>
      </c>
      <c r="AW23" s="373">
        <f t="shared" si="31"/>
        <v>75716.249951999998</v>
      </c>
      <c r="AX23" s="376">
        <f>H23*0.27</f>
        <v>1703.61562392</v>
      </c>
      <c r="AY23" s="373">
        <f t="shared" si="33"/>
        <v>4562.0585346063999</v>
      </c>
      <c r="AZ23" s="371"/>
      <c r="BB23" s="358"/>
    </row>
    <row r="24" spans="1:54" s="233" customFormat="1" ht="30" customHeight="1" x14ac:dyDescent="0.45">
      <c r="A24" s="731" t="s">
        <v>172</v>
      </c>
      <c r="B24" s="348" t="s">
        <v>282</v>
      </c>
      <c r="C24" s="317">
        <v>125</v>
      </c>
      <c r="D24" s="238">
        <v>3330.68</v>
      </c>
      <c r="E24" s="238">
        <v>4163.3499999999995</v>
      </c>
      <c r="F24" s="238">
        <f t="shared" ref="F24:F27" si="45">D24+E24</f>
        <v>7494.0299999999988</v>
      </c>
      <c r="G24" s="233">
        <v>359</v>
      </c>
      <c r="H24" s="353">
        <f t="shared" si="34"/>
        <v>6495.1231049999997</v>
      </c>
      <c r="I24" s="463">
        <v>0.91</v>
      </c>
      <c r="J24" s="362">
        <v>5000</v>
      </c>
      <c r="K24" s="361">
        <f t="shared" si="4"/>
        <v>4943.7026541570003</v>
      </c>
      <c r="L24" s="390">
        <v>4943.7026541570003</v>
      </c>
      <c r="M24" s="390">
        <f t="shared" si="5"/>
        <v>0</v>
      </c>
      <c r="N24" s="390">
        <f t="shared" si="0"/>
        <v>5315.8093055451618</v>
      </c>
      <c r="O24" s="372">
        <f t="shared" si="1"/>
        <v>45.237212492999994</v>
      </c>
      <c r="P24" s="373">
        <f t="shared" si="6"/>
        <v>6495.1231049999997</v>
      </c>
      <c r="Q24" s="378">
        <f t="shared" ref="Q24:Q28" si="46">P24*0.15</f>
        <v>974.2684657499999</v>
      </c>
      <c r="R24" s="373">
        <f t="shared" si="7"/>
        <v>5475.6174267570004</v>
      </c>
      <c r="S24" s="373">
        <f t="shared" si="2"/>
        <v>12990.246209999999</v>
      </c>
      <c r="T24" s="374">
        <f>(S24-10000)*0.2+(10000-P24)*0.15</f>
        <v>1123.7807762499999</v>
      </c>
      <c r="U24" s="373">
        <f t="shared" si="8"/>
        <v>5326.1051162570002</v>
      </c>
      <c r="V24" s="373">
        <f t="shared" si="9"/>
        <v>19485.369315</v>
      </c>
      <c r="W24" s="374">
        <f>H24*0.2</f>
        <v>1299.024621</v>
      </c>
      <c r="X24" s="373">
        <f t="shared" si="10"/>
        <v>5150.8612715069994</v>
      </c>
      <c r="Y24" s="373">
        <f t="shared" si="11"/>
        <v>25980.492419999999</v>
      </c>
      <c r="Z24" s="376">
        <f>(Y24-25000)*0.27+(25000-V24)*0.2</f>
        <v>1367.6590903999997</v>
      </c>
      <c r="AA24" s="373">
        <f t="shared" si="12"/>
        <v>5082.2268021070004</v>
      </c>
      <c r="AB24" s="373">
        <f t="shared" si="13"/>
        <v>32475.615524999997</v>
      </c>
      <c r="AC24" s="376">
        <f t="shared" si="14"/>
        <v>1753.68323835</v>
      </c>
      <c r="AD24" s="373">
        <f t="shared" si="15"/>
        <v>4696.2026541569994</v>
      </c>
      <c r="AE24" s="373">
        <f t="shared" si="16"/>
        <v>38970.73863</v>
      </c>
      <c r="AF24" s="376">
        <f t="shared" si="41"/>
        <v>1753.68323835</v>
      </c>
      <c r="AG24" s="373">
        <f t="shared" si="18"/>
        <v>4696.2026541569994</v>
      </c>
      <c r="AH24" s="373">
        <f t="shared" si="19"/>
        <v>45465.861734999999</v>
      </c>
      <c r="AI24" s="376">
        <f t="shared" si="42"/>
        <v>1753.68323835</v>
      </c>
      <c r="AJ24" s="373">
        <f t="shared" si="20"/>
        <v>4696.2026541569994</v>
      </c>
      <c r="AK24" s="373">
        <f t="shared" si="21"/>
        <v>51960.984839999997</v>
      </c>
      <c r="AL24" s="376">
        <f t="shared" si="43"/>
        <v>1753.68323835</v>
      </c>
      <c r="AM24" s="373">
        <f t="shared" si="22"/>
        <v>4696.2026541569994</v>
      </c>
      <c r="AN24" s="373">
        <f t="shared" si="23"/>
        <v>58456.107944999996</v>
      </c>
      <c r="AO24" s="376">
        <f t="shared" si="44"/>
        <v>1753.68323835</v>
      </c>
      <c r="AP24" s="373">
        <f t="shared" si="24"/>
        <v>4696.2026541569994</v>
      </c>
      <c r="AQ24" s="373">
        <f t="shared" si="25"/>
        <v>64951.231049999995</v>
      </c>
      <c r="AR24" s="376">
        <f>H24*0.27</f>
        <v>1753.68323835</v>
      </c>
      <c r="AS24" s="373">
        <f t="shared" si="27"/>
        <v>4696.2026541569994</v>
      </c>
      <c r="AT24" s="373">
        <f t="shared" si="28"/>
        <v>71446.354154999994</v>
      </c>
      <c r="AU24" s="376">
        <f>H24*0.27</f>
        <v>1753.68323835</v>
      </c>
      <c r="AV24" s="373">
        <f t="shared" si="30"/>
        <v>4696.2026541569994</v>
      </c>
      <c r="AW24" s="373">
        <f t="shared" si="31"/>
        <v>77941.47726</v>
      </c>
      <c r="AX24" s="376">
        <f>H24*0.27</f>
        <v>1753.68323835</v>
      </c>
      <c r="AY24" s="373">
        <f t="shared" si="33"/>
        <v>4696.2026541569994</v>
      </c>
      <c r="AZ24" s="371"/>
      <c r="BB24" s="358"/>
    </row>
    <row r="25" spans="1:54" s="233" customFormat="1" ht="30" customHeight="1" x14ac:dyDescent="0.45">
      <c r="A25" s="732"/>
      <c r="B25" s="348" t="s">
        <v>281</v>
      </c>
      <c r="C25" s="317">
        <v>125</v>
      </c>
      <c r="D25" s="238">
        <v>3330.68</v>
      </c>
      <c r="E25" s="238">
        <v>4163.3499999999995</v>
      </c>
      <c r="F25" s="238">
        <f t="shared" si="45"/>
        <v>7494.0299999999988</v>
      </c>
      <c r="G25" s="233">
        <v>359</v>
      </c>
      <c r="H25" s="353">
        <f t="shared" si="34"/>
        <v>5798.1783149999992</v>
      </c>
      <c r="I25" s="363">
        <v>0.73</v>
      </c>
      <c r="J25" s="362">
        <v>4500</v>
      </c>
      <c r="K25" s="361">
        <f>((R25+U25+X25+AA25+AD25+AG25+AJ25+AM25+AP25+AS25+AV25+AY25)/12)+60</f>
        <v>4439.5327930709982</v>
      </c>
      <c r="L25" s="390">
        <v>4497.2282059364989</v>
      </c>
      <c r="M25" s="390">
        <f t="shared" si="5"/>
        <v>-57.695412865500657</v>
      </c>
      <c r="N25" s="390">
        <f t="shared" si="0"/>
        <v>4773.6911753451595</v>
      </c>
      <c r="O25" s="372">
        <f t="shared" si="1"/>
        <v>40.637376878999994</v>
      </c>
      <c r="P25" s="373">
        <f t="shared" si="6"/>
        <v>5798.1783149999992</v>
      </c>
      <c r="Q25" s="378">
        <f t="shared" si="46"/>
        <v>869.7267472499999</v>
      </c>
      <c r="R25" s="373">
        <f t="shared" si="7"/>
        <v>4887.8141908709995</v>
      </c>
      <c r="S25" s="373">
        <f t="shared" si="2"/>
        <v>11596.356629999998</v>
      </c>
      <c r="T25" s="374">
        <f>(S25-10000)*0.2+(10000-P25)*0.15</f>
        <v>949.5445787499998</v>
      </c>
      <c r="U25" s="373">
        <f t="shared" si="8"/>
        <v>4807.9963593709999</v>
      </c>
      <c r="V25" s="373">
        <f t="shared" si="9"/>
        <v>17394.534944999999</v>
      </c>
      <c r="W25" s="374">
        <f>H25*0.2</f>
        <v>1159.6356629999998</v>
      </c>
      <c r="X25" s="373">
        <f t="shared" si="10"/>
        <v>4597.9052751209992</v>
      </c>
      <c r="Y25" s="373">
        <f t="shared" si="11"/>
        <v>23192.713259999997</v>
      </c>
      <c r="Z25" s="374">
        <f>H25*0.2</f>
        <v>1159.6356629999998</v>
      </c>
      <c r="AA25" s="373">
        <f t="shared" si="12"/>
        <v>4597.9052751209992</v>
      </c>
      <c r="AB25" s="373">
        <f t="shared" si="13"/>
        <v>28990.891574999994</v>
      </c>
      <c r="AC25" s="376">
        <f>(AB25-25000)*0.27+(25000-Y25)*0.2</f>
        <v>1438.9980732499992</v>
      </c>
      <c r="AD25" s="373">
        <f t="shared" si="15"/>
        <v>4318.5428648710003</v>
      </c>
      <c r="AE25" s="373">
        <f t="shared" si="16"/>
        <v>34789.069889999999</v>
      </c>
      <c r="AF25" s="376">
        <f t="shared" si="41"/>
        <v>1565.5081450499999</v>
      </c>
      <c r="AG25" s="373">
        <f t="shared" si="18"/>
        <v>4192.0327930709991</v>
      </c>
      <c r="AH25" s="373">
        <f t="shared" si="19"/>
        <v>40587.248204999996</v>
      </c>
      <c r="AI25" s="376">
        <f t="shared" si="42"/>
        <v>1565.5081450499999</v>
      </c>
      <c r="AJ25" s="373">
        <f t="shared" si="20"/>
        <v>4192.0327930709991</v>
      </c>
      <c r="AK25" s="373">
        <f t="shared" si="21"/>
        <v>46385.426519999994</v>
      </c>
      <c r="AL25" s="376">
        <f t="shared" si="43"/>
        <v>1565.5081450499999</v>
      </c>
      <c r="AM25" s="373">
        <f t="shared" si="22"/>
        <v>4192.0327930709991</v>
      </c>
      <c r="AN25" s="373">
        <f t="shared" si="23"/>
        <v>52183.604834999991</v>
      </c>
      <c r="AO25" s="376">
        <f t="shared" si="44"/>
        <v>1565.5081450499999</v>
      </c>
      <c r="AP25" s="373">
        <f t="shared" si="24"/>
        <v>4192.0327930709991</v>
      </c>
      <c r="AQ25" s="373">
        <f t="shared" si="25"/>
        <v>57981.783149999988</v>
      </c>
      <c r="AR25" s="376">
        <f>H25*0.27</f>
        <v>1565.5081450499999</v>
      </c>
      <c r="AS25" s="373">
        <f t="shared" si="27"/>
        <v>4192.0327930709991</v>
      </c>
      <c r="AT25" s="373">
        <f t="shared" si="28"/>
        <v>63779.961464999993</v>
      </c>
      <c r="AU25" s="376">
        <f>H25*0.27</f>
        <v>1565.5081450499999</v>
      </c>
      <c r="AV25" s="373">
        <f t="shared" si="30"/>
        <v>4192.0327930709991</v>
      </c>
      <c r="AW25" s="373">
        <f t="shared" si="31"/>
        <v>69578.139779999998</v>
      </c>
      <c r="AX25" s="376">
        <f>H25*0.27</f>
        <v>1565.5081450499999</v>
      </c>
      <c r="AY25" s="373">
        <f t="shared" si="33"/>
        <v>4192.0327930709991</v>
      </c>
      <c r="AZ25" s="371"/>
      <c r="BB25" s="358"/>
    </row>
    <row r="26" spans="1:54" s="233" customFormat="1" ht="30" customHeight="1" x14ac:dyDescent="0.45">
      <c r="A26" s="732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45"/>
        <v>7494.0299999999988</v>
      </c>
      <c r="G26" s="233">
        <v>278</v>
      </c>
      <c r="H26" s="353">
        <f>D26+E26*$H$5*$I26-G26</f>
        <v>5066.0760599999994</v>
      </c>
      <c r="I26" s="391">
        <v>0.52</v>
      </c>
      <c r="J26" s="362">
        <v>4000</v>
      </c>
      <c r="K26" s="361">
        <f t="shared" si="4"/>
        <v>3910.4646218039993</v>
      </c>
      <c r="L26" s="390">
        <v>3910.4646218039993</v>
      </c>
      <c r="M26" s="390">
        <f t="shared" si="5"/>
        <v>0</v>
      </c>
      <c r="N26" s="390">
        <f t="shared" si="0"/>
        <v>4204.8006686064509</v>
      </c>
      <c r="O26" s="372">
        <f t="shared" si="1"/>
        <v>35.270901995999999</v>
      </c>
      <c r="P26" s="373">
        <f t="shared" si="6"/>
        <v>5066.0760599999994</v>
      </c>
      <c r="Q26" s="378">
        <f t="shared" si="46"/>
        <v>759.91140899999994</v>
      </c>
      <c r="R26" s="373">
        <f t="shared" si="7"/>
        <v>4270.8937490039989</v>
      </c>
      <c r="S26" s="373">
        <f t="shared" si="2"/>
        <v>10132.152119999999</v>
      </c>
      <c r="T26" s="374">
        <f t="shared" ref="T26" si="47">(S26-10000)*0.2+(10000-P26)*0.15</f>
        <v>766.51901499999985</v>
      </c>
      <c r="U26" s="373">
        <f t="shared" si="8"/>
        <v>4264.2861430039993</v>
      </c>
      <c r="V26" s="373">
        <f t="shared" si="9"/>
        <v>15198.228179999998</v>
      </c>
      <c r="W26" s="374">
        <f>H26*0.2</f>
        <v>1013.215212</v>
      </c>
      <c r="X26" s="373">
        <f t="shared" si="10"/>
        <v>4017.5899460039991</v>
      </c>
      <c r="Y26" s="373">
        <f t="shared" si="11"/>
        <v>20264.304239999998</v>
      </c>
      <c r="Z26" s="374">
        <f>H26*0.2</f>
        <v>1013.215212</v>
      </c>
      <c r="AA26" s="373">
        <f t="shared" si="12"/>
        <v>4017.5899460039991</v>
      </c>
      <c r="AB26" s="373">
        <f t="shared" si="13"/>
        <v>25330.380299999997</v>
      </c>
      <c r="AC26" s="376">
        <f>(AB26-25000)*0.27+(25000-Y26)*0.2</f>
        <v>1036.3418329999997</v>
      </c>
      <c r="AD26" s="373">
        <f t="shared" si="15"/>
        <v>3994.4633250039997</v>
      </c>
      <c r="AE26" s="373">
        <f t="shared" si="16"/>
        <v>30396.456359999996</v>
      </c>
      <c r="AF26" s="376">
        <f t="shared" si="41"/>
        <v>1367.8405361999999</v>
      </c>
      <c r="AG26" s="373">
        <f t="shared" si="18"/>
        <v>3662.9646218039993</v>
      </c>
      <c r="AH26" s="373">
        <f t="shared" si="19"/>
        <v>35462.532419999996</v>
      </c>
      <c r="AI26" s="376">
        <f t="shared" si="42"/>
        <v>1367.8405361999999</v>
      </c>
      <c r="AJ26" s="373">
        <f t="shared" si="20"/>
        <v>3662.9646218039993</v>
      </c>
      <c r="AK26" s="373">
        <f t="shared" si="21"/>
        <v>40528.608479999995</v>
      </c>
      <c r="AL26" s="376">
        <f t="shared" si="43"/>
        <v>1367.8405361999999</v>
      </c>
      <c r="AM26" s="373">
        <f t="shared" si="22"/>
        <v>3662.9646218039993</v>
      </c>
      <c r="AN26" s="373">
        <f t="shared" si="23"/>
        <v>45594.684539999995</v>
      </c>
      <c r="AO26" s="376">
        <f t="shared" si="44"/>
        <v>1367.8405361999999</v>
      </c>
      <c r="AP26" s="373">
        <f t="shared" si="24"/>
        <v>3662.9646218039993</v>
      </c>
      <c r="AQ26" s="373">
        <f t="shared" si="25"/>
        <v>50660.760599999994</v>
      </c>
      <c r="AR26" s="376">
        <f>H26*0.27</f>
        <v>1367.8405361999999</v>
      </c>
      <c r="AS26" s="373">
        <f t="shared" si="27"/>
        <v>3662.9646218039993</v>
      </c>
      <c r="AT26" s="373">
        <f t="shared" si="28"/>
        <v>55726.836659999994</v>
      </c>
      <c r="AU26" s="376">
        <f>H26*0.27</f>
        <v>1367.8405361999999</v>
      </c>
      <c r="AV26" s="373">
        <f t="shared" si="30"/>
        <v>3662.9646218039993</v>
      </c>
      <c r="AW26" s="373">
        <f t="shared" si="31"/>
        <v>60792.912719999993</v>
      </c>
      <c r="AX26" s="376">
        <f>H26*0.27</f>
        <v>1367.8405361999999</v>
      </c>
      <c r="AY26" s="373">
        <f t="shared" si="33"/>
        <v>3662.9646218039993</v>
      </c>
      <c r="AZ26" s="371"/>
      <c r="BB26" s="358"/>
    </row>
    <row r="27" spans="1:54" s="233" customFormat="1" ht="30" customHeight="1" x14ac:dyDescent="0.45">
      <c r="A27" s="733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45"/>
        <v>7494.0299999999988</v>
      </c>
      <c r="G27" s="233">
        <v>278</v>
      </c>
      <c r="H27" s="353">
        <f t="shared" si="34"/>
        <v>3749.6247899999998</v>
      </c>
      <c r="I27" s="391">
        <v>0.18</v>
      </c>
      <c r="J27" s="362">
        <v>3000</v>
      </c>
      <c r="K27" s="361">
        <f t="shared" si="4"/>
        <v>2958.1437730859993</v>
      </c>
      <c r="L27" s="390">
        <v>2958.1437730859993</v>
      </c>
      <c r="M27" s="390">
        <f t="shared" si="5"/>
        <v>0</v>
      </c>
      <c r="N27" s="390">
        <f t="shared" si="0"/>
        <v>3180.7997560064509</v>
      </c>
      <c r="O27" s="372">
        <f t="shared" si="1"/>
        <v>26.582323614</v>
      </c>
      <c r="P27" s="373">
        <f t="shared" si="6"/>
        <v>3749.6247899999998</v>
      </c>
      <c r="Q27" s="378">
        <f t="shared" si="46"/>
        <v>562.44371849999993</v>
      </c>
      <c r="R27" s="373">
        <f t="shared" si="7"/>
        <v>3160.5987478859997</v>
      </c>
      <c r="S27" s="373">
        <f t="shared" si="2"/>
        <v>7499.2495799999997</v>
      </c>
      <c r="T27" s="378">
        <f>H27*0.15</f>
        <v>562.44371849999993</v>
      </c>
      <c r="U27" s="373">
        <f t="shared" si="8"/>
        <v>3160.5987478859997</v>
      </c>
      <c r="V27" s="373">
        <f t="shared" si="9"/>
        <v>11248.87437</v>
      </c>
      <c r="W27" s="374">
        <f>(V27-10000)*0.2+(10000-S27)*0.15</f>
        <v>624.88743699999998</v>
      </c>
      <c r="X27" s="373">
        <f t="shared" si="10"/>
        <v>3098.155029386</v>
      </c>
      <c r="Y27" s="373">
        <f t="shared" si="11"/>
        <v>14998.499159999999</v>
      </c>
      <c r="Z27" s="374">
        <f>H27*0.2</f>
        <v>749.92495800000006</v>
      </c>
      <c r="AA27" s="373">
        <f t="shared" si="12"/>
        <v>2973.1175083859998</v>
      </c>
      <c r="AB27" s="373">
        <f t="shared" si="13"/>
        <v>18748.123950000001</v>
      </c>
      <c r="AC27" s="374">
        <f>H27*0.2</f>
        <v>749.92495800000006</v>
      </c>
      <c r="AD27" s="373">
        <f t="shared" si="15"/>
        <v>2973.1175083859998</v>
      </c>
      <c r="AE27" s="373">
        <f t="shared" si="16"/>
        <v>22497.748739999999</v>
      </c>
      <c r="AF27" s="374">
        <f>H27*0.2</f>
        <v>749.92495800000006</v>
      </c>
      <c r="AG27" s="373">
        <f t="shared" si="18"/>
        <v>2973.1175083859998</v>
      </c>
      <c r="AH27" s="373">
        <f t="shared" si="19"/>
        <v>26247.373529999997</v>
      </c>
      <c r="AI27" s="376">
        <f>(AH27-25000)*0.27+(25000-AE27)*0.2</f>
        <v>837.24110509999946</v>
      </c>
      <c r="AJ27" s="373">
        <f t="shared" si="20"/>
        <v>2885.8013612860004</v>
      </c>
      <c r="AK27" s="373">
        <f t="shared" si="21"/>
        <v>29996.998319999999</v>
      </c>
      <c r="AL27" s="376">
        <f t="shared" si="43"/>
        <v>1012.3986933</v>
      </c>
      <c r="AM27" s="373">
        <f t="shared" si="22"/>
        <v>2710.6437730859998</v>
      </c>
      <c r="AN27" s="373">
        <f t="shared" si="23"/>
        <v>33746.62311</v>
      </c>
      <c r="AO27" s="376">
        <f t="shared" si="44"/>
        <v>1012.3986933</v>
      </c>
      <c r="AP27" s="373">
        <f t="shared" si="24"/>
        <v>2710.6437730859998</v>
      </c>
      <c r="AQ27" s="373">
        <f t="shared" si="25"/>
        <v>37496.247900000002</v>
      </c>
      <c r="AR27" s="376">
        <f>H27*0.27</f>
        <v>1012.3986933</v>
      </c>
      <c r="AS27" s="373">
        <f t="shared" si="27"/>
        <v>2710.6437730859998</v>
      </c>
      <c r="AT27" s="373">
        <f t="shared" si="28"/>
        <v>41245.872689999997</v>
      </c>
      <c r="AU27" s="376">
        <f>H27*0.27</f>
        <v>1012.3986933</v>
      </c>
      <c r="AV27" s="373">
        <f t="shared" si="30"/>
        <v>2710.6437730859998</v>
      </c>
      <c r="AW27" s="373">
        <f t="shared" si="31"/>
        <v>44995.497479999998</v>
      </c>
      <c r="AX27" s="376">
        <f>H27*0.27</f>
        <v>1012.3986933</v>
      </c>
      <c r="AY27" s="373">
        <f t="shared" si="33"/>
        <v>2710.6437730859998</v>
      </c>
      <c r="AZ27" s="371"/>
      <c r="BB27" s="358"/>
    </row>
    <row r="28" spans="1:54" s="233" customFormat="1" ht="28.5" x14ac:dyDescent="0.45">
      <c r="A28" s="754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34"/>
        <v>2223.6737480000002</v>
      </c>
      <c r="I28" s="391">
        <v>0.54</v>
      </c>
      <c r="J28" s="362">
        <v>1795</v>
      </c>
      <c r="K28" s="361">
        <f t="shared" si="4"/>
        <v>1854.2707893032</v>
      </c>
      <c r="L28" s="390">
        <v>1854.2707893032</v>
      </c>
      <c r="M28" s="390">
        <f t="shared" si="5"/>
        <v>0</v>
      </c>
      <c r="N28" s="390">
        <f t="shared" si="0"/>
        <v>1993.8395583905376</v>
      </c>
      <c r="O28" s="372">
        <f t="shared" si="1"/>
        <v>16.511046736800001</v>
      </c>
      <c r="P28" s="373">
        <f t="shared" si="6"/>
        <v>2223.6737480000002</v>
      </c>
      <c r="Q28" s="378">
        <f t="shared" si="46"/>
        <v>333.55106219999999</v>
      </c>
      <c r="R28" s="373">
        <f t="shared" si="7"/>
        <v>1873.6116390632003</v>
      </c>
      <c r="S28" s="373">
        <f t="shared" si="2"/>
        <v>4447.3474960000003</v>
      </c>
      <c r="T28" s="378">
        <f>H28*0.15</f>
        <v>333.55106219999999</v>
      </c>
      <c r="U28" s="373">
        <f t="shared" si="8"/>
        <v>1873.6116390632003</v>
      </c>
      <c r="V28" s="373">
        <f t="shared" si="9"/>
        <v>6671.0212440000005</v>
      </c>
      <c r="W28" s="378">
        <f>H28*0.15</f>
        <v>333.55106219999999</v>
      </c>
      <c r="X28" s="373">
        <f t="shared" si="10"/>
        <v>1873.6116390632003</v>
      </c>
      <c r="Y28" s="373">
        <f t="shared" si="11"/>
        <v>8894.6949920000006</v>
      </c>
      <c r="Z28" s="378">
        <f>H28*0.15</f>
        <v>333.55106219999999</v>
      </c>
      <c r="AA28" s="373">
        <f t="shared" si="12"/>
        <v>1873.6116390632003</v>
      </c>
      <c r="AB28" s="373">
        <f t="shared" si="13"/>
        <v>11118.368740000002</v>
      </c>
      <c r="AC28" s="374">
        <f>(AB28-10000)*0.2+(10000-Y28)*0.15</f>
        <v>389.46949920000026</v>
      </c>
      <c r="AD28" s="373">
        <f t="shared" si="15"/>
        <v>1817.6932020632</v>
      </c>
      <c r="AE28" s="373">
        <f t="shared" si="16"/>
        <v>13342.042488000001</v>
      </c>
      <c r="AF28" s="374">
        <f>H28*0.2</f>
        <v>444.73474960000004</v>
      </c>
      <c r="AG28" s="373">
        <f t="shared" si="18"/>
        <v>1762.4279516632002</v>
      </c>
      <c r="AH28" s="373">
        <f t="shared" si="19"/>
        <v>15565.716236</v>
      </c>
      <c r="AI28" s="374">
        <f>H28*0.2</f>
        <v>444.73474960000004</v>
      </c>
      <c r="AJ28" s="373">
        <f t="shared" si="20"/>
        <v>1762.4279516632002</v>
      </c>
      <c r="AK28" s="373">
        <f t="shared" si="21"/>
        <v>17789.389984000001</v>
      </c>
      <c r="AL28" s="374">
        <f>H28*0.2</f>
        <v>444.73474960000004</v>
      </c>
      <c r="AM28" s="373">
        <f t="shared" si="22"/>
        <v>1762.4279516632002</v>
      </c>
      <c r="AN28" s="373">
        <f t="shared" si="23"/>
        <v>20013.063732000002</v>
      </c>
      <c r="AO28" s="374">
        <f>H28*0.2</f>
        <v>444.73474960000004</v>
      </c>
      <c r="AP28" s="373">
        <f t="shared" si="24"/>
        <v>1762.4279516632002</v>
      </c>
      <c r="AQ28" s="373">
        <f t="shared" si="25"/>
        <v>22236.737480000003</v>
      </c>
      <c r="AR28" s="374">
        <f>H28*0.2</f>
        <v>444.73474960000004</v>
      </c>
      <c r="AS28" s="373">
        <f t="shared" si="27"/>
        <v>1762.4279516632002</v>
      </c>
      <c r="AT28" s="373">
        <f t="shared" si="28"/>
        <v>24460.411228000001</v>
      </c>
      <c r="AU28" s="374">
        <f>H28*0.2</f>
        <v>444.73474960000004</v>
      </c>
      <c r="AV28" s="373">
        <f t="shared" si="30"/>
        <v>1762.4279516632002</v>
      </c>
      <c r="AW28" s="373">
        <f t="shared" si="31"/>
        <v>26684.084976000002</v>
      </c>
      <c r="AX28" s="376">
        <f>(AW28-25000)*0.27+(25000-AT28)*0.2</f>
        <v>562.62069792000034</v>
      </c>
      <c r="AY28" s="373">
        <f t="shared" si="33"/>
        <v>1644.5420033431999</v>
      </c>
      <c r="AZ28" s="371"/>
      <c r="BB28" s="358"/>
    </row>
    <row r="29" spans="1:54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0.94</v>
      </c>
      <c r="I29" s="363"/>
      <c r="J29" s="233"/>
      <c r="K29" s="361"/>
      <c r="L29" s="390"/>
      <c r="M29" s="390">
        <f t="shared" si="5"/>
        <v>0</v>
      </c>
      <c r="N29" s="390"/>
      <c r="O29" s="372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5"/>
      <c r="BB29" s="358"/>
    </row>
    <row r="30" spans="1:54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48">D30+E30</f>
        <v>24980.1</v>
      </c>
      <c r="G30" s="233">
        <v>359</v>
      </c>
      <c r="H30" s="353">
        <f>D30+E30*$H$29*$I30-G30</f>
        <v>16659.442528</v>
      </c>
      <c r="I30" s="363">
        <v>0.64</v>
      </c>
      <c r="J30" s="362">
        <v>11900</v>
      </c>
      <c r="K30" s="361">
        <f t="shared" si="4"/>
        <v>11550.482589181869</v>
      </c>
      <c r="L30" s="390"/>
      <c r="M30" s="390">
        <f t="shared" si="5"/>
        <v>11550.482589181869</v>
      </c>
      <c r="N30" s="390">
        <f t="shared" ref="N30:N54" si="49">K30/0.94</f>
        <v>12287.747435299862</v>
      </c>
      <c r="O30" s="372">
        <f t="shared" ref="O30:O54" si="50">(H30+G30)*0.0066</f>
        <v>112.3217206848</v>
      </c>
      <c r="P30" s="373">
        <f>H30</f>
        <v>16659.442528</v>
      </c>
      <c r="Q30" s="374">
        <f t="shared" ref="Q30:Q42" si="51">(P30-10000)*0.2+10000*0.15</f>
        <v>2831.8885055999999</v>
      </c>
      <c r="R30" s="373">
        <f t="shared" ref="R30:R54" si="52">H30-O30-Q30</f>
        <v>13715.232301715201</v>
      </c>
      <c r="S30" s="373">
        <f>H30*2</f>
        <v>33318.885055999999</v>
      </c>
      <c r="T30" s="376">
        <f>(S30-25000)*0.27+(25000-P30)*0.2</f>
        <v>3914.2104595199999</v>
      </c>
      <c r="U30" s="373">
        <f t="shared" ref="U30:U54" si="53">H30-O30-T30</f>
        <v>12632.910347795201</v>
      </c>
      <c r="V30" s="373">
        <f t="shared" ref="V30:V54" si="54">H30*3</f>
        <v>49978.327583999999</v>
      </c>
      <c r="W30" s="376">
        <f t="shared" ref="W30:W33" si="55">P30*0.27</f>
        <v>4498.0494825599999</v>
      </c>
      <c r="X30" s="373">
        <f t="shared" ref="X30:X54" si="56">H30-O30-W30</f>
        <v>12049.071324755201</v>
      </c>
      <c r="Y30" s="373">
        <f t="shared" ref="Y30:Y54" si="57">H30*4</f>
        <v>66637.770111999998</v>
      </c>
      <c r="Z30" s="376">
        <f t="shared" ref="Z30:Z37" si="58">H30*0.27</f>
        <v>4498.0494825599999</v>
      </c>
      <c r="AA30" s="373">
        <f t="shared" ref="AA30:AA54" si="59">H30-O30-Z30</f>
        <v>12049.071324755201</v>
      </c>
      <c r="AB30" s="373">
        <f t="shared" ref="AB30:AB54" si="60">H30*5</f>
        <v>83297.212639999998</v>
      </c>
      <c r="AC30" s="376">
        <f t="shared" ref="AC30:AC50" si="61">H30*0.27</f>
        <v>4498.0494825599999</v>
      </c>
      <c r="AD30" s="373">
        <f t="shared" ref="AD30:AD54" si="62">H30-O30-AC30</f>
        <v>12049.071324755201</v>
      </c>
      <c r="AE30" s="373">
        <f t="shared" ref="AE30:AE54" si="63">H30*6</f>
        <v>99956.655167999998</v>
      </c>
      <c r="AF30" s="377">
        <f>(AE30-88000)*0.35+(88000-AB30)*0.27</f>
        <v>5454.5818959999997</v>
      </c>
      <c r="AG30" s="373">
        <f t="shared" ref="AG30:AG54" si="64">H30-O30-AF30</f>
        <v>11092.538911315201</v>
      </c>
      <c r="AH30" s="373">
        <f t="shared" ref="AH30:AH54" si="65">H30*7</f>
        <v>116616.097696</v>
      </c>
      <c r="AI30" s="377">
        <f>H30*0.35</f>
        <v>5830.8048847999999</v>
      </c>
      <c r="AJ30" s="373">
        <f t="shared" ref="AJ30:AJ54" si="66">H30-O30-AI30</f>
        <v>10716.315922515201</v>
      </c>
      <c r="AK30" s="373">
        <f t="shared" ref="AK30:AK54" si="67">H30*8</f>
        <v>133275.540224</v>
      </c>
      <c r="AL30" s="377">
        <f>H30*0.35</f>
        <v>5830.8048847999999</v>
      </c>
      <c r="AM30" s="373">
        <f t="shared" ref="AM30:AM54" si="68">H30-O30-AL30</f>
        <v>10716.315922515201</v>
      </c>
      <c r="AN30" s="373">
        <f t="shared" ref="AN30:AN54" si="69">H30*9</f>
        <v>149934.98275199998</v>
      </c>
      <c r="AO30" s="377">
        <f>H30*0.35</f>
        <v>5830.8048847999999</v>
      </c>
      <c r="AP30" s="373">
        <f t="shared" ref="AP30:AP54" si="70">H30-O30-AO30</f>
        <v>10716.315922515201</v>
      </c>
      <c r="AQ30" s="373">
        <f t="shared" ref="AQ30:AQ54" si="71">H30*10</f>
        <v>166594.42528</v>
      </c>
      <c r="AR30" s="377">
        <f>H30*0.35</f>
        <v>5830.8048847999999</v>
      </c>
      <c r="AS30" s="373">
        <f t="shared" ref="AS30:AS54" si="72">H30-O30-AR30</f>
        <v>10716.315922515201</v>
      </c>
      <c r="AT30" s="373">
        <f t="shared" ref="AT30:AT54" si="73">H30*11</f>
        <v>183253.86780800001</v>
      </c>
      <c r="AU30" s="377">
        <f t="shared" ref="AU30:AU37" si="74">H30*0.35</f>
        <v>5830.8048847999999</v>
      </c>
      <c r="AV30" s="373">
        <f t="shared" ref="AV30:AV54" si="75">H30-O30-AU30</f>
        <v>10716.315922515201</v>
      </c>
      <c r="AW30" s="373">
        <f t="shared" ref="AW30:AW54" si="76">H30*12</f>
        <v>199913.310336</v>
      </c>
      <c r="AX30" s="377">
        <f t="shared" ref="AX30:AX37" si="77">H30*0.35</f>
        <v>5830.8048847999999</v>
      </c>
      <c r="AY30" s="373">
        <f t="shared" ref="AY30:AY54" si="78">H30-O30-AX30</f>
        <v>10716.315922515201</v>
      </c>
      <c r="AZ30" s="292"/>
      <c r="BB30" s="358"/>
    </row>
    <row r="31" spans="1:54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48"/>
        <v>24980.1</v>
      </c>
      <c r="G31" s="233">
        <v>359</v>
      </c>
      <c r="H31" s="353">
        <f t="shared" ref="H31:H54" si="79">D31+E31*$H$29*$I31-G31</f>
        <v>10836.081615999999</v>
      </c>
      <c r="I31" s="363">
        <v>0.33</v>
      </c>
      <c r="J31" s="362">
        <v>8000</v>
      </c>
      <c r="K31" s="361">
        <f t="shared" si="4"/>
        <v>7803.7321784010674</v>
      </c>
      <c r="L31" s="390"/>
      <c r="M31" s="390">
        <f t="shared" si="5"/>
        <v>7803.7321784010674</v>
      </c>
      <c r="N31" s="390">
        <f t="shared" si="49"/>
        <v>8301.8427429798594</v>
      </c>
      <c r="O31" s="372">
        <f t="shared" si="50"/>
        <v>73.88753866559999</v>
      </c>
      <c r="P31" s="373">
        <f t="shared" ref="P31:P54" si="80">H31</f>
        <v>10836.081615999999</v>
      </c>
      <c r="Q31" s="374">
        <f t="shared" si="51"/>
        <v>1667.2163231999998</v>
      </c>
      <c r="R31" s="373">
        <f t="shared" si="52"/>
        <v>9094.9777541343992</v>
      </c>
      <c r="S31" s="373">
        <f t="shared" ref="S31:S54" si="81">H31*2</f>
        <v>21672.163231999999</v>
      </c>
      <c r="T31" s="374">
        <f>H31*0.2</f>
        <v>2167.2163231999998</v>
      </c>
      <c r="U31" s="373">
        <f t="shared" si="53"/>
        <v>8594.9777541343992</v>
      </c>
      <c r="V31" s="373">
        <f t="shared" si="54"/>
        <v>32508.244847999998</v>
      </c>
      <c r="W31" s="376">
        <f>(V31-25000)*0.27+(25000-S31)*0.2</f>
        <v>2692.7934625600001</v>
      </c>
      <c r="X31" s="373">
        <f t="shared" si="56"/>
        <v>8069.4006147743994</v>
      </c>
      <c r="Y31" s="373">
        <f t="shared" si="57"/>
        <v>43344.326463999998</v>
      </c>
      <c r="Z31" s="376">
        <f t="shared" si="58"/>
        <v>2925.7420363199999</v>
      </c>
      <c r="AA31" s="373">
        <f t="shared" si="59"/>
        <v>7836.4520410143996</v>
      </c>
      <c r="AB31" s="373">
        <f t="shared" si="60"/>
        <v>54180.408079999994</v>
      </c>
      <c r="AC31" s="376">
        <f t="shared" si="61"/>
        <v>2925.7420363199999</v>
      </c>
      <c r="AD31" s="373">
        <f t="shared" si="62"/>
        <v>7836.4520410143996</v>
      </c>
      <c r="AE31" s="373">
        <f t="shared" si="63"/>
        <v>65016.489695999997</v>
      </c>
      <c r="AF31" s="376">
        <f t="shared" ref="AF31:AF38" si="82">H31*0.27</f>
        <v>2925.7420363199999</v>
      </c>
      <c r="AG31" s="373">
        <f t="shared" si="64"/>
        <v>7836.4520410143996</v>
      </c>
      <c r="AH31" s="373">
        <f t="shared" si="65"/>
        <v>75852.571312</v>
      </c>
      <c r="AI31" s="376">
        <f>H31*0.27</f>
        <v>2925.7420363199999</v>
      </c>
      <c r="AJ31" s="373">
        <f t="shared" si="66"/>
        <v>7836.4520410143996</v>
      </c>
      <c r="AK31" s="373">
        <f t="shared" si="67"/>
        <v>86688.652927999996</v>
      </c>
      <c r="AL31" s="376">
        <f>H31*0.27</f>
        <v>2925.7420363199999</v>
      </c>
      <c r="AM31" s="373">
        <f t="shared" si="68"/>
        <v>7836.4520410143996</v>
      </c>
      <c r="AN31" s="373">
        <f t="shared" si="69"/>
        <v>97524.734543999992</v>
      </c>
      <c r="AO31" s="377">
        <f>(AN31-88000)*0.35+(88000-AK31)*0.27</f>
        <v>3687.7207998399981</v>
      </c>
      <c r="AP31" s="373">
        <f t="shared" si="70"/>
        <v>7074.4732774944014</v>
      </c>
      <c r="AQ31" s="373">
        <f t="shared" si="71"/>
        <v>108360.81615999999</v>
      </c>
      <c r="AR31" s="377">
        <f>H31*0.35</f>
        <v>3792.6285655999995</v>
      </c>
      <c r="AS31" s="373">
        <f t="shared" si="72"/>
        <v>6969.5655117343995</v>
      </c>
      <c r="AT31" s="373">
        <f t="shared" si="73"/>
        <v>119196.897776</v>
      </c>
      <c r="AU31" s="377">
        <f t="shared" si="74"/>
        <v>3792.6285655999995</v>
      </c>
      <c r="AV31" s="373">
        <f t="shared" si="75"/>
        <v>6969.5655117343995</v>
      </c>
      <c r="AW31" s="373">
        <f t="shared" si="76"/>
        <v>130032.97939199999</v>
      </c>
      <c r="AX31" s="377">
        <f t="shared" si="77"/>
        <v>3792.6285655999995</v>
      </c>
      <c r="AY31" s="373">
        <f t="shared" si="78"/>
        <v>6969.5655117343995</v>
      </c>
      <c r="AZ31" s="292"/>
      <c r="BB31" s="358"/>
    </row>
    <row r="32" spans="1:54" ht="28.5" x14ac:dyDescent="0.45">
      <c r="A32" s="716"/>
      <c r="B32" s="461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79"/>
        <v>9333.2788</v>
      </c>
      <c r="I32" s="363">
        <v>0.25</v>
      </c>
      <c r="J32" s="362">
        <v>6844</v>
      </c>
      <c r="K32" s="361">
        <f t="shared" si="4"/>
        <v>6836.8288465866681</v>
      </c>
      <c r="L32" s="390"/>
      <c r="M32" s="390">
        <f t="shared" si="5"/>
        <v>6836.8288465866681</v>
      </c>
      <c r="N32" s="390">
        <f t="shared" si="49"/>
        <v>7273.22217721986</v>
      </c>
      <c r="O32" s="372">
        <f t="shared" si="50"/>
        <v>63.969040079999999</v>
      </c>
      <c r="P32" s="373">
        <f t="shared" si="80"/>
        <v>9333.2788</v>
      </c>
      <c r="Q32" s="378">
        <f t="shared" ref="Q32" si="83">P32*0.15</f>
        <v>1399.99182</v>
      </c>
      <c r="R32" s="373">
        <f t="shared" si="52"/>
        <v>7869.3179399200008</v>
      </c>
      <c r="S32" s="373">
        <f t="shared" si="81"/>
        <v>18666.5576</v>
      </c>
      <c r="T32" s="374">
        <f t="shared" ref="T32" si="84">(S32-10000)*0.2+(10000-P32)*0.15</f>
        <v>1833.3197000000002</v>
      </c>
      <c r="U32" s="373">
        <f t="shared" si="53"/>
        <v>7435.9900599200009</v>
      </c>
      <c r="V32" s="373">
        <f t="shared" si="54"/>
        <v>27999.8364</v>
      </c>
      <c r="W32" s="376">
        <f>(V32-25000)*0.27+(25000-S32)*0.2</f>
        <v>2076.6443079999999</v>
      </c>
      <c r="X32" s="373">
        <f t="shared" si="56"/>
        <v>7192.665451920001</v>
      </c>
      <c r="Y32" s="373">
        <f t="shared" si="57"/>
        <v>37333.1152</v>
      </c>
      <c r="Z32" s="376">
        <f t="shared" si="58"/>
        <v>2519.9852760000003</v>
      </c>
      <c r="AA32" s="373">
        <f t="shared" si="59"/>
        <v>6749.3244839200006</v>
      </c>
      <c r="AB32" s="373">
        <f t="shared" si="60"/>
        <v>46666.394</v>
      </c>
      <c r="AC32" s="376">
        <f t="shared" si="61"/>
        <v>2519.9852760000003</v>
      </c>
      <c r="AD32" s="373">
        <f t="shared" si="62"/>
        <v>6749.3244839200006</v>
      </c>
      <c r="AE32" s="373">
        <f t="shared" si="63"/>
        <v>55999.6728</v>
      </c>
      <c r="AF32" s="376">
        <f t="shared" si="82"/>
        <v>2519.9852760000003</v>
      </c>
      <c r="AG32" s="373">
        <f t="shared" si="64"/>
        <v>6749.3244839200006</v>
      </c>
      <c r="AH32" s="373">
        <f t="shared" si="65"/>
        <v>65332.9516</v>
      </c>
      <c r="AI32" s="376">
        <f>H32*0.27</f>
        <v>2519.9852760000003</v>
      </c>
      <c r="AJ32" s="373">
        <f t="shared" si="66"/>
        <v>6749.3244839200006</v>
      </c>
      <c r="AK32" s="373">
        <f t="shared" si="67"/>
        <v>74666.2304</v>
      </c>
      <c r="AL32" s="376">
        <f>H32*0.27</f>
        <v>2519.9852760000003</v>
      </c>
      <c r="AM32" s="373">
        <f t="shared" si="68"/>
        <v>6749.3244839200006</v>
      </c>
      <c r="AN32" s="373">
        <f t="shared" si="69"/>
        <v>83999.5092</v>
      </c>
      <c r="AO32" s="376">
        <f>H32*0.27</f>
        <v>2519.9852760000003</v>
      </c>
      <c r="AP32" s="373">
        <f t="shared" si="70"/>
        <v>6749.3244839200006</v>
      </c>
      <c r="AQ32" s="373">
        <f t="shared" si="71"/>
        <v>93332.788</v>
      </c>
      <c r="AR32" s="377">
        <f>(AQ32-88000)*0.35+(88000-AN32)*0.27</f>
        <v>2946.6083159999998</v>
      </c>
      <c r="AS32" s="373">
        <f t="shared" si="72"/>
        <v>6322.7014439200011</v>
      </c>
      <c r="AT32" s="373">
        <f t="shared" si="73"/>
        <v>102666.0668</v>
      </c>
      <c r="AU32" s="377">
        <f t="shared" si="74"/>
        <v>3266.6475799999998</v>
      </c>
      <c r="AV32" s="373">
        <f t="shared" si="75"/>
        <v>6002.6621799200011</v>
      </c>
      <c r="AW32" s="373">
        <f t="shared" si="76"/>
        <v>111999.3456</v>
      </c>
      <c r="AX32" s="377">
        <f t="shared" si="77"/>
        <v>3266.6475799999998</v>
      </c>
      <c r="AY32" s="373">
        <f t="shared" si="78"/>
        <v>6002.6621799200011</v>
      </c>
      <c r="AZ32" s="292"/>
      <c r="BB32" s="358"/>
    </row>
    <row r="33" spans="1:54" ht="28.5" x14ac:dyDescent="0.45">
      <c r="A33" s="716"/>
      <c r="B33" s="347" t="s">
        <v>32</v>
      </c>
      <c r="C33" s="283">
        <v>450</v>
      </c>
      <c r="D33" s="238">
        <v>4996.0199999999995</v>
      </c>
      <c r="E33" s="238">
        <v>14988.06</v>
      </c>
      <c r="F33" s="238">
        <f t="shared" si="48"/>
        <v>19984.079999999998</v>
      </c>
      <c r="G33" s="233">
        <v>359</v>
      </c>
      <c r="H33" s="353">
        <f t="shared" si="79"/>
        <v>13090.285839999997</v>
      </c>
      <c r="I33" s="363">
        <v>0.6</v>
      </c>
      <c r="J33" s="362">
        <v>9500</v>
      </c>
      <c r="K33" s="361">
        <f t="shared" si="4"/>
        <v>9254.0871761226681</v>
      </c>
      <c r="L33" s="390"/>
      <c r="M33" s="390">
        <f t="shared" si="5"/>
        <v>9254.0871761226681</v>
      </c>
      <c r="N33" s="390">
        <f t="shared" si="49"/>
        <v>9844.7735916198599</v>
      </c>
      <c r="O33" s="372">
        <f t="shared" si="50"/>
        <v>88.765286543999977</v>
      </c>
      <c r="P33" s="373">
        <f t="shared" si="80"/>
        <v>13090.285839999997</v>
      </c>
      <c r="Q33" s="374">
        <f t="shared" si="51"/>
        <v>2118.0571679999994</v>
      </c>
      <c r="R33" s="373">
        <f t="shared" si="52"/>
        <v>10883.463385455998</v>
      </c>
      <c r="S33" s="373">
        <f t="shared" si="81"/>
        <v>26180.571679999994</v>
      </c>
      <c r="T33" s="376">
        <f>(S33-25000)*0.27+(25000-P33)*0.2</f>
        <v>2700.6971855999991</v>
      </c>
      <c r="U33" s="373">
        <f t="shared" si="53"/>
        <v>10300.823367855999</v>
      </c>
      <c r="V33" s="373">
        <f t="shared" si="54"/>
        <v>39270.85751999999</v>
      </c>
      <c r="W33" s="376">
        <f t="shared" si="55"/>
        <v>3534.3771767999992</v>
      </c>
      <c r="X33" s="373">
        <f t="shared" si="56"/>
        <v>9467.1433766559985</v>
      </c>
      <c r="Y33" s="373">
        <f t="shared" si="57"/>
        <v>52361.143359999987</v>
      </c>
      <c r="Z33" s="376">
        <f t="shared" si="58"/>
        <v>3534.3771767999992</v>
      </c>
      <c r="AA33" s="373">
        <f t="shared" si="59"/>
        <v>9467.1433766559985</v>
      </c>
      <c r="AB33" s="373">
        <f t="shared" si="60"/>
        <v>65451.429199999984</v>
      </c>
      <c r="AC33" s="376">
        <f t="shared" si="61"/>
        <v>3534.3771767999992</v>
      </c>
      <c r="AD33" s="373">
        <f t="shared" si="62"/>
        <v>9467.1433766559985</v>
      </c>
      <c r="AE33" s="373">
        <f t="shared" si="63"/>
        <v>78541.715039999981</v>
      </c>
      <c r="AF33" s="376">
        <f t="shared" si="82"/>
        <v>3534.3771767999992</v>
      </c>
      <c r="AG33" s="373">
        <f t="shared" si="64"/>
        <v>9467.1433766559985</v>
      </c>
      <c r="AH33" s="373">
        <f t="shared" si="65"/>
        <v>91632.000879999978</v>
      </c>
      <c r="AI33" s="377">
        <f>(AH33-88000)*0.35+(88000-AE33)*0.27</f>
        <v>3824.9372471999977</v>
      </c>
      <c r="AJ33" s="373">
        <f t="shared" si="66"/>
        <v>9176.5833062559996</v>
      </c>
      <c r="AK33" s="373">
        <f t="shared" si="67"/>
        <v>104722.28671999997</v>
      </c>
      <c r="AL33" s="377">
        <f>H33*0.35</f>
        <v>4581.6000439999989</v>
      </c>
      <c r="AM33" s="373">
        <f t="shared" si="68"/>
        <v>8419.9205094559984</v>
      </c>
      <c r="AN33" s="373">
        <f t="shared" si="69"/>
        <v>117812.57255999997</v>
      </c>
      <c r="AO33" s="377">
        <f>H33*0.35</f>
        <v>4581.6000439999989</v>
      </c>
      <c r="AP33" s="373">
        <f t="shared" si="70"/>
        <v>8419.9205094559984</v>
      </c>
      <c r="AQ33" s="373">
        <f t="shared" si="71"/>
        <v>130902.85839999997</v>
      </c>
      <c r="AR33" s="377">
        <f>H33*0.35</f>
        <v>4581.6000439999989</v>
      </c>
      <c r="AS33" s="373">
        <f t="shared" si="72"/>
        <v>8419.9205094559984</v>
      </c>
      <c r="AT33" s="373">
        <f t="shared" si="73"/>
        <v>143993.14423999997</v>
      </c>
      <c r="AU33" s="377">
        <f t="shared" si="74"/>
        <v>4581.6000439999989</v>
      </c>
      <c r="AV33" s="373">
        <f t="shared" si="75"/>
        <v>8419.9205094559984</v>
      </c>
      <c r="AW33" s="373">
        <f t="shared" si="76"/>
        <v>157083.43007999996</v>
      </c>
      <c r="AX33" s="377">
        <f t="shared" si="77"/>
        <v>4581.6000439999989</v>
      </c>
      <c r="AY33" s="373">
        <f t="shared" si="78"/>
        <v>8419.9205094559984</v>
      </c>
      <c r="AZ33" s="292"/>
      <c r="BB33" s="358"/>
    </row>
    <row r="34" spans="1:54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48"/>
        <v>19984.079999999998</v>
      </c>
      <c r="G34" s="233">
        <v>359</v>
      </c>
      <c r="H34" s="353">
        <f t="shared" si="79"/>
        <v>11399.632672</v>
      </c>
      <c r="I34" s="363">
        <v>0.48</v>
      </c>
      <c r="J34" s="362">
        <v>8300</v>
      </c>
      <c r="K34" s="361">
        <f t="shared" si="4"/>
        <v>8166.3209278314671</v>
      </c>
      <c r="L34" s="390"/>
      <c r="M34" s="390">
        <f t="shared" si="5"/>
        <v>8166.3209278314671</v>
      </c>
      <c r="N34" s="390">
        <f t="shared" si="49"/>
        <v>8687.5754551398586</v>
      </c>
      <c r="O34" s="372">
        <f t="shared" si="50"/>
        <v>77.606975635200001</v>
      </c>
      <c r="P34" s="373">
        <f t="shared" si="80"/>
        <v>11399.632672</v>
      </c>
      <c r="Q34" s="374">
        <f t="shared" si="51"/>
        <v>1779.9265344</v>
      </c>
      <c r="R34" s="373">
        <f t="shared" si="52"/>
        <v>9542.0991619647994</v>
      </c>
      <c r="S34" s="373">
        <f t="shared" si="81"/>
        <v>22799.265343999999</v>
      </c>
      <c r="T34" s="376">
        <f>P34*0.2</f>
        <v>2279.9265344</v>
      </c>
      <c r="U34" s="373">
        <f t="shared" si="53"/>
        <v>9042.0991619647994</v>
      </c>
      <c r="V34" s="373">
        <f t="shared" si="54"/>
        <v>34198.898015999999</v>
      </c>
      <c r="W34" s="376">
        <f>(V34-25000)*0.27+(25000-S34)*0.2</f>
        <v>2923.8493955200001</v>
      </c>
      <c r="X34" s="373">
        <f t="shared" si="56"/>
        <v>8398.1763008447997</v>
      </c>
      <c r="Y34" s="373">
        <f t="shared" si="57"/>
        <v>45598.530687999999</v>
      </c>
      <c r="Z34" s="376">
        <f t="shared" si="58"/>
        <v>3077.9008214400001</v>
      </c>
      <c r="AA34" s="373">
        <f t="shared" si="59"/>
        <v>8244.1248749247989</v>
      </c>
      <c r="AB34" s="373">
        <f t="shared" si="60"/>
        <v>56998.163359999999</v>
      </c>
      <c r="AC34" s="376">
        <f t="shared" si="61"/>
        <v>3077.9008214400001</v>
      </c>
      <c r="AD34" s="373">
        <f t="shared" si="62"/>
        <v>8244.1248749247989</v>
      </c>
      <c r="AE34" s="373">
        <f t="shared" si="63"/>
        <v>68397.796031999998</v>
      </c>
      <c r="AF34" s="376">
        <f t="shared" si="82"/>
        <v>3077.9008214400001</v>
      </c>
      <c r="AG34" s="373">
        <f t="shared" si="64"/>
        <v>8244.1248749247989</v>
      </c>
      <c r="AH34" s="373">
        <f t="shared" si="65"/>
        <v>79797.428703999991</v>
      </c>
      <c r="AI34" s="376">
        <f>H34*0.27</f>
        <v>3077.9008214400001</v>
      </c>
      <c r="AJ34" s="373">
        <f t="shared" si="66"/>
        <v>8244.1248749247989</v>
      </c>
      <c r="AK34" s="373">
        <f t="shared" si="67"/>
        <v>91197.061375999998</v>
      </c>
      <c r="AL34" s="377">
        <f>(AK34-88000)*0.35+(88000-AH34)*0.27</f>
        <v>3333.6657315200018</v>
      </c>
      <c r="AM34" s="373">
        <f t="shared" si="68"/>
        <v>7988.3599648447971</v>
      </c>
      <c r="AN34" s="373">
        <f t="shared" si="69"/>
        <v>102596.694048</v>
      </c>
      <c r="AO34" s="377">
        <f>H34*0.35</f>
        <v>3989.8714351999997</v>
      </c>
      <c r="AP34" s="373">
        <f t="shared" si="70"/>
        <v>7332.1542611647992</v>
      </c>
      <c r="AQ34" s="373">
        <f t="shared" si="71"/>
        <v>113996.32672</v>
      </c>
      <c r="AR34" s="377">
        <f>H34*0.35</f>
        <v>3989.8714351999997</v>
      </c>
      <c r="AS34" s="373">
        <f t="shared" si="72"/>
        <v>7332.1542611647992</v>
      </c>
      <c r="AT34" s="373">
        <f t="shared" si="73"/>
        <v>125395.95939199999</v>
      </c>
      <c r="AU34" s="377">
        <f t="shared" si="74"/>
        <v>3989.8714351999997</v>
      </c>
      <c r="AV34" s="373">
        <f t="shared" si="75"/>
        <v>7332.1542611647992</v>
      </c>
      <c r="AW34" s="373">
        <f t="shared" si="76"/>
        <v>136795.592064</v>
      </c>
      <c r="AX34" s="377">
        <f t="shared" si="77"/>
        <v>3989.8714351999997</v>
      </c>
      <c r="AY34" s="373">
        <f t="shared" si="78"/>
        <v>7332.1542611647992</v>
      </c>
      <c r="AZ34" s="292"/>
      <c r="BB34" s="358"/>
    </row>
    <row r="35" spans="1:54" ht="28.5" x14ac:dyDescent="0.45">
      <c r="A35" s="716"/>
      <c r="B35" s="461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48"/>
        <v>14988.059999999998</v>
      </c>
      <c r="G35" s="233">
        <v>359</v>
      </c>
      <c r="H35" s="353">
        <f t="shared" si="79"/>
        <v>9802.9046799999996</v>
      </c>
      <c r="I35" s="363">
        <v>0.55000000000000004</v>
      </c>
      <c r="J35" s="362">
        <v>7300</v>
      </c>
      <c r="K35" s="361">
        <f t="shared" si="4"/>
        <v>7138.9861377786683</v>
      </c>
      <c r="L35" s="390"/>
      <c r="M35" s="390">
        <f t="shared" si="5"/>
        <v>7138.9861377786683</v>
      </c>
      <c r="N35" s="390">
        <f t="shared" si="49"/>
        <v>7594.6661040198605</v>
      </c>
      <c r="O35" s="372">
        <f t="shared" si="50"/>
        <v>67.068570887999996</v>
      </c>
      <c r="P35" s="373">
        <f t="shared" si="80"/>
        <v>9802.9046799999996</v>
      </c>
      <c r="Q35" s="378">
        <f t="shared" ref="Q35:Q38" si="85">P35*0.15</f>
        <v>1470.435702</v>
      </c>
      <c r="R35" s="373">
        <f t="shared" si="52"/>
        <v>8265.4004071119998</v>
      </c>
      <c r="S35" s="373">
        <f t="shared" si="81"/>
        <v>19605.809359999999</v>
      </c>
      <c r="T35" s="374">
        <f t="shared" ref="T35:T38" si="86">(S35-10000)*0.2+(10000-P35)*0.15</f>
        <v>1950.7261699999999</v>
      </c>
      <c r="U35" s="373">
        <f t="shared" si="53"/>
        <v>7785.1099391120006</v>
      </c>
      <c r="V35" s="373">
        <f t="shared" si="54"/>
        <v>29408.714039999999</v>
      </c>
      <c r="W35" s="376">
        <f>(V35-25000)*0.27+(25000-S35)*0.2</f>
        <v>2269.1909188</v>
      </c>
      <c r="X35" s="373">
        <f t="shared" si="56"/>
        <v>7466.6451903120005</v>
      </c>
      <c r="Y35" s="373">
        <f t="shared" si="57"/>
        <v>39211.618719999999</v>
      </c>
      <c r="Z35" s="376">
        <f t="shared" si="58"/>
        <v>2646.7842636</v>
      </c>
      <c r="AA35" s="373">
        <f t="shared" si="59"/>
        <v>7089.051845512</v>
      </c>
      <c r="AB35" s="373">
        <f t="shared" si="60"/>
        <v>49014.523399999998</v>
      </c>
      <c r="AC35" s="376">
        <f t="shared" si="61"/>
        <v>2646.7842636</v>
      </c>
      <c r="AD35" s="373">
        <f t="shared" si="62"/>
        <v>7089.051845512</v>
      </c>
      <c r="AE35" s="373">
        <f t="shared" si="63"/>
        <v>58817.428079999998</v>
      </c>
      <c r="AF35" s="376">
        <f t="shared" si="82"/>
        <v>2646.7842636</v>
      </c>
      <c r="AG35" s="373">
        <f t="shared" si="64"/>
        <v>7089.051845512</v>
      </c>
      <c r="AH35" s="373">
        <f t="shared" si="65"/>
        <v>68620.33275999999</v>
      </c>
      <c r="AI35" s="376">
        <f>H35*0.27</f>
        <v>2646.7842636</v>
      </c>
      <c r="AJ35" s="373">
        <f t="shared" si="66"/>
        <v>7089.051845512</v>
      </c>
      <c r="AK35" s="373">
        <f t="shared" si="67"/>
        <v>78423.237439999997</v>
      </c>
      <c r="AL35" s="376">
        <f>H35*0.27</f>
        <v>2646.7842636</v>
      </c>
      <c r="AM35" s="373">
        <f t="shared" si="68"/>
        <v>7089.051845512</v>
      </c>
      <c r="AN35" s="373">
        <f t="shared" si="69"/>
        <v>88226.142120000004</v>
      </c>
      <c r="AO35" s="377">
        <f>(AN35-88000)*0.35+(88000-AK35)*0.27</f>
        <v>2664.8756332000025</v>
      </c>
      <c r="AP35" s="373">
        <f t="shared" si="70"/>
        <v>7070.9604759119975</v>
      </c>
      <c r="AQ35" s="373">
        <f t="shared" si="71"/>
        <v>98029.046799999996</v>
      </c>
      <c r="AR35" s="377">
        <f>H35*0.35</f>
        <v>3431.0166379999996</v>
      </c>
      <c r="AS35" s="373">
        <f t="shared" si="72"/>
        <v>6304.8194711120013</v>
      </c>
      <c r="AT35" s="373">
        <f t="shared" si="73"/>
        <v>107831.95147999999</v>
      </c>
      <c r="AU35" s="377">
        <f t="shared" si="74"/>
        <v>3431.0166379999996</v>
      </c>
      <c r="AV35" s="373">
        <f t="shared" si="75"/>
        <v>6304.8194711120013</v>
      </c>
      <c r="AW35" s="373">
        <f t="shared" si="76"/>
        <v>117634.85616</v>
      </c>
      <c r="AX35" s="377">
        <f t="shared" si="77"/>
        <v>3431.0166379999996</v>
      </c>
      <c r="AY35" s="373">
        <f t="shared" si="78"/>
        <v>6304.8194711120013</v>
      </c>
      <c r="AZ35" s="292"/>
      <c r="BB35" s="358"/>
    </row>
    <row r="36" spans="1:54" ht="28.5" x14ac:dyDescent="0.45">
      <c r="A36" s="716"/>
      <c r="B36" s="461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48"/>
        <v>14988.059999999998</v>
      </c>
      <c r="G36" s="233">
        <v>359</v>
      </c>
      <c r="H36" s="353">
        <f t="shared" si="79"/>
        <v>9802.9046799999996</v>
      </c>
      <c r="I36" s="363">
        <v>0.55000000000000004</v>
      </c>
      <c r="J36" s="362">
        <v>7100</v>
      </c>
      <c r="K36" s="361">
        <f t="shared" si="4"/>
        <v>7138.9861377786683</v>
      </c>
      <c r="L36" s="390"/>
      <c r="M36" s="390">
        <f t="shared" si="5"/>
        <v>7138.9861377786683</v>
      </c>
      <c r="N36" s="390">
        <f t="shared" si="49"/>
        <v>7594.6661040198605</v>
      </c>
      <c r="O36" s="372">
        <f t="shared" si="50"/>
        <v>67.068570887999996</v>
      </c>
      <c r="P36" s="373">
        <f t="shared" si="80"/>
        <v>9802.9046799999996</v>
      </c>
      <c r="Q36" s="378">
        <f t="shared" si="85"/>
        <v>1470.435702</v>
      </c>
      <c r="R36" s="373">
        <f t="shared" si="52"/>
        <v>8265.4004071119998</v>
      </c>
      <c r="S36" s="373">
        <f t="shared" si="81"/>
        <v>19605.809359999999</v>
      </c>
      <c r="T36" s="374">
        <f t="shared" si="86"/>
        <v>1950.7261699999999</v>
      </c>
      <c r="U36" s="373">
        <f t="shared" si="53"/>
        <v>7785.1099391120006</v>
      </c>
      <c r="V36" s="373">
        <f t="shared" si="54"/>
        <v>29408.714039999999</v>
      </c>
      <c r="W36" s="376">
        <f>(V36-25000)*0.27+(25000-S36)*0.2</f>
        <v>2269.1909188</v>
      </c>
      <c r="X36" s="373">
        <f t="shared" si="56"/>
        <v>7466.6451903120005</v>
      </c>
      <c r="Y36" s="373">
        <f t="shared" si="57"/>
        <v>39211.618719999999</v>
      </c>
      <c r="Z36" s="376">
        <f t="shared" si="58"/>
        <v>2646.7842636</v>
      </c>
      <c r="AA36" s="373">
        <f t="shared" si="59"/>
        <v>7089.051845512</v>
      </c>
      <c r="AB36" s="373">
        <f t="shared" si="60"/>
        <v>49014.523399999998</v>
      </c>
      <c r="AC36" s="376">
        <f t="shared" si="61"/>
        <v>2646.7842636</v>
      </c>
      <c r="AD36" s="373">
        <f t="shared" si="62"/>
        <v>7089.051845512</v>
      </c>
      <c r="AE36" s="373">
        <f t="shared" si="63"/>
        <v>58817.428079999998</v>
      </c>
      <c r="AF36" s="376">
        <f t="shared" si="82"/>
        <v>2646.7842636</v>
      </c>
      <c r="AG36" s="373">
        <f t="shared" si="64"/>
        <v>7089.051845512</v>
      </c>
      <c r="AH36" s="373">
        <f t="shared" si="65"/>
        <v>68620.33275999999</v>
      </c>
      <c r="AI36" s="376">
        <f>H36*0.27</f>
        <v>2646.7842636</v>
      </c>
      <c r="AJ36" s="373">
        <f t="shared" si="66"/>
        <v>7089.051845512</v>
      </c>
      <c r="AK36" s="373">
        <f t="shared" si="67"/>
        <v>78423.237439999997</v>
      </c>
      <c r="AL36" s="376">
        <f>H36*0.27</f>
        <v>2646.7842636</v>
      </c>
      <c r="AM36" s="373">
        <f t="shared" si="68"/>
        <v>7089.051845512</v>
      </c>
      <c r="AN36" s="373">
        <f t="shared" si="69"/>
        <v>88226.142120000004</v>
      </c>
      <c r="AO36" s="377">
        <f>(AN36-88000)*0.35+(88000-AK36)*0.27</f>
        <v>2664.8756332000025</v>
      </c>
      <c r="AP36" s="373">
        <f t="shared" si="70"/>
        <v>7070.9604759119975</v>
      </c>
      <c r="AQ36" s="373">
        <f t="shared" si="71"/>
        <v>98029.046799999996</v>
      </c>
      <c r="AR36" s="377">
        <f>H36*0.35</f>
        <v>3431.0166379999996</v>
      </c>
      <c r="AS36" s="373">
        <f t="shared" si="72"/>
        <v>6304.8194711120013</v>
      </c>
      <c r="AT36" s="373">
        <f t="shared" si="73"/>
        <v>107831.95147999999</v>
      </c>
      <c r="AU36" s="377">
        <f t="shared" si="74"/>
        <v>3431.0166379999996</v>
      </c>
      <c r="AV36" s="373">
        <f t="shared" si="75"/>
        <v>6304.8194711120013</v>
      </c>
      <c r="AW36" s="373">
        <f t="shared" si="76"/>
        <v>117634.85616</v>
      </c>
      <c r="AX36" s="377">
        <f t="shared" si="77"/>
        <v>3431.0166379999996</v>
      </c>
      <c r="AY36" s="373">
        <f t="shared" si="78"/>
        <v>6304.8194711120013</v>
      </c>
      <c r="AZ36" s="292"/>
      <c r="BB36" s="358"/>
    </row>
    <row r="37" spans="1:54" ht="28.5" x14ac:dyDescent="0.45">
      <c r="A37" s="716"/>
      <c r="B37" s="461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48"/>
        <v>14988.059999999998</v>
      </c>
      <c r="G37" s="233">
        <v>359</v>
      </c>
      <c r="H37" s="353">
        <f t="shared" si="79"/>
        <v>9333.2788</v>
      </c>
      <c r="I37" s="363">
        <v>0.5</v>
      </c>
      <c r="J37" s="362">
        <v>6900</v>
      </c>
      <c r="K37" s="361">
        <f t="shared" si="4"/>
        <v>6836.8288465866681</v>
      </c>
      <c r="L37" s="390"/>
      <c r="M37" s="390">
        <f t="shared" si="5"/>
        <v>6836.8288465866681</v>
      </c>
      <c r="N37" s="390">
        <f t="shared" si="49"/>
        <v>7273.22217721986</v>
      </c>
      <c r="O37" s="372">
        <f t="shared" si="50"/>
        <v>63.969040079999999</v>
      </c>
      <c r="P37" s="373">
        <f t="shared" si="80"/>
        <v>9333.2788</v>
      </c>
      <c r="Q37" s="378">
        <f t="shared" si="85"/>
        <v>1399.99182</v>
      </c>
      <c r="R37" s="373">
        <f t="shared" si="52"/>
        <v>7869.3179399200008</v>
      </c>
      <c r="S37" s="373">
        <f t="shared" si="81"/>
        <v>18666.5576</v>
      </c>
      <c r="T37" s="374">
        <f t="shared" si="86"/>
        <v>1833.3197000000002</v>
      </c>
      <c r="U37" s="373">
        <f t="shared" si="53"/>
        <v>7435.9900599200009</v>
      </c>
      <c r="V37" s="373">
        <f t="shared" si="54"/>
        <v>27999.8364</v>
      </c>
      <c r="W37" s="376">
        <f>(V37-25000)*0.27+(25000-S37)*0.2</f>
        <v>2076.6443079999999</v>
      </c>
      <c r="X37" s="373">
        <f t="shared" si="56"/>
        <v>7192.665451920001</v>
      </c>
      <c r="Y37" s="373">
        <f t="shared" si="57"/>
        <v>37333.1152</v>
      </c>
      <c r="Z37" s="376">
        <f t="shared" si="58"/>
        <v>2519.9852760000003</v>
      </c>
      <c r="AA37" s="373">
        <f t="shared" si="59"/>
        <v>6749.3244839200006</v>
      </c>
      <c r="AB37" s="373">
        <f t="shared" si="60"/>
        <v>46666.394</v>
      </c>
      <c r="AC37" s="376">
        <f t="shared" si="61"/>
        <v>2519.9852760000003</v>
      </c>
      <c r="AD37" s="373">
        <f t="shared" si="62"/>
        <v>6749.3244839200006</v>
      </c>
      <c r="AE37" s="373">
        <f t="shared" si="63"/>
        <v>55999.6728</v>
      </c>
      <c r="AF37" s="376">
        <f t="shared" si="82"/>
        <v>2519.9852760000003</v>
      </c>
      <c r="AG37" s="373">
        <f t="shared" si="64"/>
        <v>6749.3244839200006</v>
      </c>
      <c r="AH37" s="373">
        <f t="shared" si="65"/>
        <v>65332.9516</v>
      </c>
      <c r="AI37" s="376">
        <f>H37*0.27</f>
        <v>2519.9852760000003</v>
      </c>
      <c r="AJ37" s="373">
        <f t="shared" si="66"/>
        <v>6749.3244839200006</v>
      </c>
      <c r="AK37" s="373">
        <f t="shared" si="67"/>
        <v>74666.2304</v>
      </c>
      <c r="AL37" s="376">
        <f>H37*0.27</f>
        <v>2519.9852760000003</v>
      </c>
      <c r="AM37" s="373">
        <f t="shared" si="68"/>
        <v>6749.3244839200006</v>
      </c>
      <c r="AN37" s="373">
        <f t="shared" si="69"/>
        <v>83999.5092</v>
      </c>
      <c r="AO37" s="376">
        <f>H37*0.27</f>
        <v>2519.9852760000003</v>
      </c>
      <c r="AP37" s="373">
        <f t="shared" si="70"/>
        <v>6749.3244839200006</v>
      </c>
      <c r="AQ37" s="373">
        <f t="shared" si="71"/>
        <v>93332.788</v>
      </c>
      <c r="AR37" s="377">
        <f>(AQ37-88000)*0.35+(88000-AN37)*0.27</f>
        <v>2946.6083159999998</v>
      </c>
      <c r="AS37" s="373">
        <f t="shared" si="72"/>
        <v>6322.7014439200011</v>
      </c>
      <c r="AT37" s="373">
        <f t="shared" si="73"/>
        <v>102666.0668</v>
      </c>
      <c r="AU37" s="377">
        <f t="shared" si="74"/>
        <v>3266.6475799999998</v>
      </c>
      <c r="AV37" s="373">
        <f t="shared" si="75"/>
        <v>6002.6621799200011</v>
      </c>
      <c r="AW37" s="373">
        <f t="shared" si="76"/>
        <v>111999.3456</v>
      </c>
      <c r="AX37" s="377">
        <f t="shared" si="77"/>
        <v>3266.6475799999998</v>
      </c>
      <c r="AY37" s="373">
        <f t="shared" si="78"/>
        <v>6002.6621799200011</v>
      </c>
      <c r="AZ37" s="292"/>
      <c r="BB37" s="358"/>
    </row>
    <row r="38" spans="1:54" ht="28.5" x14ac:dyDescent="0.45">
      <c r="A38" s="716"/>
      <c r="B38" s="392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48"/>
        <v>14988.059999999998</v>
      </c>
      <c r="G38" s="233">
        <v>359</v>
      </c>
      <c r="H38" s="353">
        <f t="shared" si="79"/>
        <v>6421.5983439999991</v>
      </c>
      <c r="I38" s="391">
        <v>0.19</v>
      </c>
      <c r="J38" s="362">
        <v>4900</v>
      </c>
      <c r="K38" s="361">
        <f t="shared" si="4"/>
        <v>4890.514842049598</v>
      </c>
      <c r="L38" s="390"/>
      <c r="M38" s="390">
        <f t="shared" si="5"/>
        <v>4890.514842049598</v>
      </c>
      <c r="N38" s="390">
        <f t="shared" si="49"/>
        <v>5202.6753638825512</v>
      </c>
      <c r="O38" s="372">
        <f t="shared" si="50"/>
        <v>44.751949070399995</v>
      </c>
      <c r="P38" s="373">
        <f t="shared" si="80"/>
        <v>6421.5983439999991</v>
      </c>
      <c r="Q38" s="378">
        <f t="shared" si="85"/>
        <v>963.23975159999986</v>
      </c>
      <c r="R38" s="373">
        <f t="shared" si="52"/>
        <v>5413.6066433295991</v>
      </c>
      <c r="S38" s="373">
        <f t="shared" si="81"/>
        <v>12843.196687999998</v>
      </c>
      <c r="T38" s="374">
        <f t="shared" si="86"/>
        <v>1105.3995859999998</v>
      </c>
      <c r="U38" s="373">
        <f t="shared" si="53"/>
        <v>5271.4468089295997</v>
      </c>
      <c r="V38" s="373">
        <f t="shared" si="54"/>
        <v>19264.795031999998</v>
      </c>
      <c r="W38" s="374">
        <f>P38*0.2</f>
        <v>1284.3196687999998</v>
      </c>
      <c r="X38" s="373">
        <f t="shared" si="56"/>
        <v>5092.5267261295994</v>
      </c>
      <c r="Y38" s="373">
        <f t="shared" si="57"/>
        <v>25686.393375999996</v>
      </c>
      <c r="Z38" s="376">
        <f>(Y38-25000)*0.27+(25000-V38)*0.2</f>
        <v>1332.3672051199994</v>
      </c>
      <c r="AA38" s="373">
        <f t="shared" si="59"/>
        <v>5044.4791898096</v>
      </c>
      <c r="AB38" s="373">
        <f t="shared" si="60"/>
        <v>32107.991719999995</v>
      </c>
      <c r="AC38" s="376">
        <f t="shared" si="61"/>
        <v>1733.8315528799999</v>
      </c>
      <c r="AD38" s="373">
        <f t="shared" si="62"/>
        <v>4643.0148420495989</v>
      </c>
      <c r="AE38" s="373">
        <f t="shared" si="63"/>
        <v>38529.590063999996</v>
      </c>
      <c r="AF38" s="376">
        <f t="shared" si="82"/>
        <v>1733.8315528799999</v>
      </c>
      <c r="AG38" s="373">
        <f t="shared" si="64"/>
        <v>4643.0148420495989</v>
      </c>
      <c r="AH38" s="373">
        <f t="shared" si="65"/>
        <v>44951.188407999995</v>
      </c>
      <c r="AI38" s="376">
        <f>H38*0.27</f>
        <v>1733.8315528799999</v>
      </c>
      <c r="AJ38" s="373">
        <f t="shared" si="66"/>
        <v>4643.0148420495989</v>
      </c>
      <c r="AK38" s="373">
        <f t="shared" si="67"/>
        <v>51372.786751999993</v>
      </c>
      <c r="AL38" s="376">
        <f>H38*0.27</f>
        <v>1733.8315528799999</v>
      </c>
      <c r="AM38" s="373">
        <f t="shared" si="68"/>
        <v>4643.0148420495989</v>
      </c>
      <c r="AN38" s="373">
        <f t="shared" si="69"/>
        <v>57794.385095999991</v>
      </c>
      <c r="AO38" s="376">
        <f>H38*0.27</f>
        <v>1733.8315528799999</v>
      </c>
      <c r="AP38" s="373">
        <f t="shared" si="70"/>
        <v>4643.0148420495989</v>
      </c>
      <c r="AQ38" s="373">
        <f t="shared" si="71"/>
        <v>64215.983439999989</v>
      </c>
      <c r="AR38" s="376">
        <f>H38*0.27</f>
        <v>1733.8315528799999</v>
      </c>
      <c r="AS38" s="373">
        <f t="shared" si="72"/>
        <v>4643.0148420495989</v>
      </c>
      <c r="AT38" s="373">
        <f t="shared" si="73"/>
        <v>70637.581783999995</v>
      </c>
      <c r="AU38" s="376">
        <f>H38*0.27</f>
        <v>1733.8315528799999</v>
      </c>
      <c r="AV38" s="373">
        <f t="shared" si="75"/>
        <v>4643.0148420495989</v>
      </c>
      <c r="AW38" s="373">
        <f t="shared" si="76"/>
        <v>77059.180127999993</v>
      </c>
      <c r="AX38" s="376">
        <f>H38*0.27</f>
        <v>1733.8315528799999</v>
      </c>
      <c r="AY38" s="373">
        <f t="shared" si="78"/>
        <v>4643.0148420495989</v>
      </c>
      <c r="AZ38" s="292"/>
      <c r="BB38" s="358"/>
    </row>
    <row r="39" spans="1:54" ht="28.5" x14ac:dyDescent="0.45">
      <c r="A39" s="716" t="s">
        <v>29</v>
      </c>
      <c r="B39" s="461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48"/>
        <v>24980.1</v>
      </c>
      <c r="G39" s="233">
        <v>359</v>
      </c>
      <c r="H39" s="353">
        <f t="shared" si="79"/>
        <v>16283.741823999997</v>
      </c>
      <c r="I39" s="363">
        <v>0.62</v>
      </c>
      <c r="J39" s="362">
        <v>11600</v>
      </c>
      <c r="K39" s="361">
        <f t="shared" si="4"/>
        <v>11308.756756228262</v>
      </c>
      <c r="L39" s="390"/>
      <c r="M39" s="390">
        <f t="shared" si="5"/>
        <v>11308.756756228262</v>
      </c>
      <c r="N39" s="390">
        <f t="shared" si="49"/>
        <v>12030.592293859854</v>
      </c>
      <c r="O39" s="372">
        <f t="shared" si="50"/>
        <v>109.84209603839997</v>
      </c>
      <c r="P39" s="373">
        <f t="shared" si="80"/>
        <v>16283.741823999997</v>
      </c>
      <c r="Q39" s="374">
        <f t="shared" si="51"/>
        <v>2756.7483647999998</v>
      </c>
      <c r="R39" s="373">
        <f t="shared" si="52"/>
        <v>13417.151363161598</v>
      </c>
      <c r="S39" s="373">
        <f t="shared" si="81"/>
        <v>32567.483647999994</v>
      </c>
      <c r="T39" s="376">
        <f>(S39-25000)*0.27+(25000-P39)*0.2</f>
        <v>3786.4722201599989</v>
      </c>
      <c r="U39" s="373">
        <f t="shared" si="53"/>
        <v>12387.4275078016</v>
      </c>
      <c r="V39" s="373">
        <f t="shared" si="54"/>
        <v>48851.225471999991</v>
      </c>
      <c r="W39" s="376">
        <f t="shared" ref="W39" si="87">P39*0.27</f>
        <v>4396.6102924799998</v>
      </c>
      <c r="X39" s="373">
        <f t="shared" si="56"/>
        <v>11777.289435481598</v>
      </c>
      <c r="Y39" s="373">
        <f t="shared" si="57"/>
        <v>65134.967295999988</v>
      </c>
      <c r="Z39" s="376">
        <f t="shared" ref="Z39:Z45" si="88">H39*0.27</f>
        <v>4396.6102924799998</v>
      </c>
      <c r="AA39" s="373">
        <f t="shared" si="59"/>
        <v>11777.289435481598</v>
      </c>
      <c r="AB39" s="373">
        <f t="shared" si="60"/>
        <v>81418.709119999985</v>
      </c>
      <c r="AC39" s="376">
        <f t="shared" si="61"/>
        <v>4396.6102924799998</v>
      </c>
      <c r="AD39" s="373">
        <f t="shared" si="62"/>
        <v>11777.289435481598</v>
      </c>
      <c r="AE39" s="373">
        <f t="shared" si="63"/>
        <v>97702.450943999982</v>
      </c>
      <c r="AF39" s="377">
        <f>(AE39-88000)*0.35+(88000-AB39)*0.27</f>
        <v>5172.8063679999977</v>
      </c>
      <c r="AG39" s="373">
        <f t="shared" si="64"/>
        <v>11001.0933599616</v>
      </c>
      <c r="AH39" s="373">
        <f t="shared" si="65"/>
        <v>113986.19276799998</v>
      </c>
      <c r="AI39" s="377">
        <f>H39*0.35</f>
        <v>5699.3096383999982</v>
      </c>
      <c r="AJ39" s="373">
        <f t="shared" si="66"/>
        <v>10474.5900895616</v>
      </c>
      <c r="AK39" s="373">
        <f t="shared" si="67"/>
        <v>130269.93459199998</v>
      </c>
      <c r="AL39" s="377">
        <f>H39*0.35</f>
        <v>5699.3096383999982</v>
      </c>
      <c r="AM39" s="373">
        <f t="shared" si="68"/>
        <v>10474.5900895616</v>
      </c>
      <c r="AN39" s="373">
        <f t="shared" si="69"/>
        <v>146553.67641599997</v>
      </c>
      <c r="AO39" s="377">
        <f>H39*0.35</f>
        <v>5699.3096383999982</v>
      </c>
      <c r="AP39" s="373">
        <f t="shared" si="70"/>
        <v>10474.5900895616</v>
      </c>
      <c r="AQ39" s="373">
        <f t="shared" si="71"/>
        <v>162837.41823999997</v>
      </c>
      <c r="AR39" s="377">
        <f>H39*0.35</f>
        <v>5699.3096383999982</v>
      </c>
      <c r="AS39" s="373">
        <f t="shared" si="72"/>
        <v>10474.5900895616</v>
      </c>
      <c r="AT39" s="373">
        <f t="shared" si="73"/>
        <v>179121.16006399997</v>
      </c>
      <c r="AU39" s="377">
        <f t="shared" ref="AU39:AU45" si="89">H39*0.35</f>
        <v>5699.3096383999982</v>
      </c>
      <c r="AV39" s="373">
        <f t="shared" si="75"/>
        <v>10474.5900895616</v>
      </c>
      <c r="AW39" s="373">
        <f t="shared" si="76"/>
        <v>195404.90188799996</v>
      </c>
      <c r="AX39" s="377">
        <f t="shared" ref="AX39:AX45" si="90">H39*0.35</f>
        <v>5699.3096383999982</v>
      </c>
      <c r="AY39" s="373">
        <f t="shared" si="78"/>
        <v>10474.5900895616</v>
      </c>
      <c r="AZ39" s="292"/>
      <c r="BB39" s="358"/>
    </row>
    <row r="40" spans="1:54" ht="28.5" x14ac:dyDescent="0.45">
      <c r="A40" s="716"/>
      <c r="B40" s="461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48"/>
        <v>24980.1</v>
      </c>
      <c r="G40" s="233">
        <v>359</v>
      </c>
      <c r="H40" s="353">
        <f t="shared" si="79"/>
        <v>10836.081615999999</v>
      </c>
      <c r="I40" s="363">
        <v>0.33</v>
      </c>
      <c r="J40" s="362">
        <v>7900</v>
      </c>
      <c r="K40" s="361">
        <f t="shared" si="4"/>
        <v>7803.7321784010674</v>
      </c>
      <c r="L40" s="390"/>
      <c r="M40" s="390">
        <f t="shared" si="5"/>
        <v>7803.7321784010674</v>
      </c>
      <c r="N40" s="390">
        <f t="shared" si="49"/>
        <v>8301.8427429798594</v>
      </c>
      <c r="O40" s="372">
        <f t="shared" si="50"/>
        <v>73.88753866559999</v>
      </c>
      <c r="P40" s="373">
        <f t="shared" si="80"/>
        <v>10836.081615999999</v>
      </c>
      <c r="Q40" s="374">
        <f t="shared" si="51"/>
        <v>1667.2163231999998</v>
      </c>
      <c r="R40" s="373">
        <f t="shared" si="52"/>
        <v>9094.9777541343992</v>
      </c>
      <c r="S40" s="373">
        <f t="shared" si="81"/>
        <v>21672.163231999999</v>
      </c>
      <c r="T40" s="374">
        <f>H40*0.2</f>
        <v>2167.2163231999998</v>
      </c>
      <c r="U40" s="373">
        <f t="shared" si="53"/>
        <v>8594.9777541343992</v>
      </c>
      <c r="V40" s="373">
        <f t="shared" si="54"/>
        <v>32508.244847999998</v>
      </c>
      <c r="W40" s="376">
        <f t="shared" ref="W40:W45" si="91">(V40-25000)*0.27+(25000-S40)*0.2</f>
        <v>2692.7934625600001</v>
      </c>
      <c r="X40" s="373">
        <f t="shared" si="56"/>
        <v>8069.4006147743994</v>
      </c>
      <c r="Y40" s="373">
        <f t="shared" si="57"/>
        <v>43344.326463999998</v>
      </c>
      <c r="Z40" s="376">
        <f t="shared" si="88"/>
        <v>2925.7420363199999</v>
      </c>
      <c r="AA40" s="373">
        <f t="shared" si="59"/>
        <v>7836.4520410143996</v>
      </c>
      <c r="AB40" s="373">
        <f t="shared" si="60"/>
        <v>54180.408079999994</v>
      </c>
      <c r="AC40" s="376">
        <f t="shared" si="61"/>
        <v>2925.7420363199999</v>
      </c>
      <c r="AD40" s="373">
        <f t="shared" si="62"/>
        <v>7836.4520410143996</v>
      </c>
      <c r="AE40" s="373">
        <f t="shared" si="63"/>
        <v>65016.489695999997</v>
      </c>
      <c r="AF40" s="376">
        <f t="shared" ref="AF40:AF51" si="92">H40*0.27</f>
        <v>2925.7420363199999</v>
      </c>
      <c r="AG40" s="373">
        <f t="shared" si="64"/>
        <v>7836.4520410143996</v>
      </c>
      <c r="AH40" s="373">
        <f t="shared" si="65"/>
        <v>75852.571312</v>
      </c>
      <c r="AI40" s="376">
        <f t="shared" ref="AI40:AI52" si="93">H40*0.27</f>
        <v>2925.7420363199999</v>
      </c>
      <c r="AJ40" s="373">
        <f t="shared" si="66"/>
        <v>7836.4520410143996</v>
      </c>
      <c r="AK40" s="373">
        <f t="shared" si="67"/>
        <v>86688.652927999996</v>
      </c>
      <c r="AL40" s="376">
        <f>H40*0.27</f>
        <v>2925.7420363199999</v>
      </c>
      <c r="AM40" s="373">
        <f t="shared" si="68"/>
        <v>7836.4520410143996</v>
      </c>
      <c r="AN40" s="373">
        <f t="shared" si="69"/>
        <v>97524.734543999992</v>
      </c>
      <c r="AO40" s="377">
        <f>(AN40-88000)*0.35+(88000-AK40)*0.27</f>
        <v>3687.7207998399981</v>
      </c>
      <c r="AP40" s="373">
        <f t="shared" si="70"/>
        <v>7074.4732774944014</v>
      </c>
      <c r="AQ40" s="373">
        <f t="shared" si="71"/>
        <v>108360.81615999999</v>
      </c>
      <c r="AR40" s="377">
        <f>H40*0.35</f>
        <v>3792.6285655999995</v>
      </c>
      <c r="AS40" s="373">
        <f t="shared" si="72"/>
        <v>6969.5655117343995</v>
      </c>
      <c r="AT40" s="373">
        <f t="shared" si="73"/>
        <v>119196.897776</v>
      </c>
      <c r="AU40" s="377">
        <f t="shared" si="89"/>
        <v>3792.6285655999995</v>
      </c>
      <c r="AV40" s="373">
        <f t="shared" si="75"/>
        <v>6969.5655117343995</v>
      </c>
      <c r="AW40" s="373">
        <f t="shared" si="76"/>
        <v>130032.97939199999</v>
      </c>
      <c r="AX40" s="377">
        <f t="shared" si="90"/>
        <v>3792.6285655999995</v>
      </c>
      <c r="AY40" s="373">
        <f t="shared" si="78"/>
        <v>6969.5655117343995</v>
      </c>
      <c r="AZ40" s="292"/>
      <c r="BB40" s="358"/>
    </row>
    <row r="41" spans="1:54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48"/>
        <v>19984.079999999998</v>
      </c>
      <c r="G41" s="233">
        <v>359</v>
      </c>
      <c r="H41" s="353">
        <f t="shared" si="79"/>
        <v>12385.847019999999</v>
      </c>
      <c r="I41" s="363">
        <v>0.55000000000000004</v>
      </c>
      <c r="J41" s="362">
        <v>9000</v>
      </c>
      <c r="K41" s="361">
        <f t="shared" si="4"/>
        <v>8800.8512393346664</v>
      </c>
      <c r="L41" s="390"/>
      <c r="M41" s="390">
        <f t="shared" si="5"/>
        <v>8800.8512393346664</v>
      </c>
      <c r="N41" s="390">
        <f t="shared" si="49"/>
        <v>9362.6077014198581</v>
      </c>
      <c r="O41" s="372">
        <f t="shared" si="50"/>
        <v>84.115990331999996</v>
      </c>
      <c r="P41" s="373">
        <f t="shared" si="80"/>
        <v>12385.847019999999</v>
      </c>
      <c r="Q41" s="374">
        <f t="shared" si="51"/>
        <v>1977.1694039999998</v>
      </c>
      <c r="R41" s="373">
        <f t="shared" si="52"/>
        <v>10324.561625667999</v>
      </c>
      <c r="S41" s="373">
        <f t="shared" si="81"/>
        <v>24771.694039999998</v>
      </c>
      <c r="T41" s="374">
        <f>H41*0.2</f>
        <v>2477.1694040000002</v>
      </c>
      <c r="U41" s="373">
        <f t="shared" si="53"/>
        <v>9824.5616256679987</v>
      </c>
      <c r="V41" s="373">
        <f t="shared" si="54"/>
        <v>37157.541059999996</v>
      </c>
      <c r="W41" s="376">
        <f t="shared" si="91"/>
        <v>3328.1972781999998</v>
      </c>
      <c r="X41" s="373">
        <f t="shared" si="56"/>
        <v>8973.5337514679995</v>
      </c>
      <c r="Y41" s="373">
        <f t="shared" si="57"/>
        <v>49543.388079999997</v>
      </c>
      <c r="Z41" s="376">
        <f t="shared" si="88"/>
        <v>3344.1786953999999</v>
      </c>
      <c r="AA41" s="373">
        <f t="shared" si="59"/>
        <v>8957.552334267999</v>
      </c>
      <c r="AB41" s="373">
        <f t="shared" si="60"/>
        <v>61929.235099999998</v>
      </c>
      <c r="AC41" s="376">
        <f t="shared" si="61"/>
        <v>3344.1786953999999</v>
      </c>
      <c r="AD41" s="373">
        <f t="shared" si="62"/>
        <v>8957.552334267999</v>
      </c>
      <c r="AE41" s="373">
        <f t="shared" si="63"/>
        <v>74315.082119999992</v>
      </c>
      <c r="AF41" s="376">
        <f t="shared" si="92"/>
        <v>3344.1786953999999</v>
      </c>
      <c r="AG41" s="373">
        <f t="shared" si="64"/>
        <v>8957.552334267999</v>
      </c>
      <c r="AH41" s="373">
        <f t="shared" si="65"/>
        <v>86700.929139999993</v>
      </c>
      <c r="AI41" s="376">
        <f t="shared" si="93"/>
        <v>3344.1786953999999</v>
      </c>
      <c r="AJ41" s="373">
        <f t="shared" si="66"/>
        <v>8957.552334267999</v>
      </c>
      <c r="AK41" s="373">
        <f t="shared" si="67"/>
        <v>99086.776159999994</v>
      </c>
      <c r="AL41" s="377">
        <f>(AK41-88000)*0.35+(88000-AH41)*0.27</f>
        <v>4231.1207881999999</v>
      </c>
      <c r="AM41" s="373">
        <f t="shared" si="68"/>
        <v>8070.610241467999</v>
      </c>
      <c r="AN41" s="373">
        <f t="shared" si="69"/>
        <v>111472.62318</v>
      </c>
      <c r="AO41" s="377">
        <f>H41*0.35</f>
        <v>4335.0464569999995</v>
      </c>
      <c r="AP41" s="373">
        <f t="shared" si="70"/>
        <v>7966.6845726679994</v>
      </c>
      <c r="AQ41" s="373">
        <f t="shared" si="71"/>
        <v>123858.4702</v>
      </c>
      <c r="AR41" s="377">
        <f>H41*0.35</f>
        <v>4335.0464569999995</v>
      </c>
      <c r="AS41" s="373">
        <f t="shared" si="72"/>
        <v>7966.6845726679994</v>
      </c>
      <c r="AT41" s="373">
        <f t="shared" si="73"/>
        <v>136244.31722</v>
      </c>
      <c r="AU41" s="377">
        <f t="shared" si="89"/>
        <v>4335.0464569999995</v>
      </c>
      <c r="AV41" s="373">
        <f t="shared" si="75"/>
        <v>7966.6845726679994</v>
      </c>
      <c r="AW41" s="373">
        <f t="shared" si="76"/>
        <v>148630.16423999998</v>
      </c>
      <c r="AX41" s="377">
        <f t="shared" si="90"/>
        <v>4335.0464569999995</v>
      </c>
      <c r="AY41" s="373">
        <f t="shared" si="78"/>
        <v>7966.6845726679994</v>
      </c>
      <c r="AZ41" s="292"/>
      <c r="BB41" s="358"/>
    </row>
    <row r="42" spans="1:54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48"/>
        <v>19984.079999999998</v>
      </c>
      <c r="G42" s="233">
        <v>359</v>
      </c>
      <c r="H42" s="353">
        <f t="shared" si="79"/>
        <v>10836.081615999999</v>
      </c>
      <c r="I42" s="363">
        <v>0.44</v>
      </c>
      <c r="J42" s="362">
        <v>8000</v>
      </c>
      <c r="K42" s="361">
        <f t="shared" si="4"/>
        <v>7803.7321784010674</v>
      </c>
      <c r="L42" s="390"/>
      <c r="M42" s="390">
        <f t="shared" si="5"/>
        <v>7803.7321784010674</v>
      </c>
      <c r="N42" s="390">
        <f t="shared" si="49"/>
        <v>8301.8427429798594</v>
      </c>
      <c r="O42" s="372">
        <f t="shared" si="50"/>
        <v>73.88753866559999</v>
      </c>
      <c r="P42" s="373">
        <f t="shared" si="80"/>
        <v>10836.081615999999</v>
      </c>
      <c r="Q42" s="374">
        <f t="shared" si="51"/>
        <v>1667.2163231999998</v>
      </c>
      <c r="R42" s="373">
        <f t="shared" si="52"/>
        <v>9094.9777541343992</v>
      </c>
      <c r="S42" s="373">
        <f t="shared" si="81"/>
        <v>21672.163231999999</v>
      </c>
      <c r="T42" s="374">
        <f>H42*0.2</f>
        <v>2167.2163231999998</v>
      </c>
      <c r="U42" s="373">
        <f t="shared" si="53"/>
        <v>8594.9777541343992</v>
      </c>
      <c r="V42" s="373">
        <f t="shared" si="54"/>
        <v>32508.244847999998</v>
      </c>
      <c r="W42" s="376">
        <f t="shared" si="91"/>
        <v>2692.7934625600001</v>
      </c>
      <c r="X42" s="373">
        <f t="shared" si="56"/>
        <v>8069.4006147743994</v>
      </c>
      <c r="Y42" s="373">
        <f t="shared" si="57"/>
        <v>43344.326463999998</v>
      </c>
      <c r="Z42" s="376">
        <f t="shared" si="88"/>
        <v>2925.7420363199999</v>
      </c>
      <c r="AA42" s="373">
        <f t="shared" si="59"/>
        <v>7836.4520410143996</v>
      </c>
      <c r="AB42" s="373">
        <f t="shared" si="60"/>
        <v>54180.408079999994</v>
      </c>
      <c r="AC42" s="376">
        <f t="shared" si="61"/>
        <v>2925.7420363199999</v>
      </c>
      <c r="AD42" s="373">
        <f t="shared" si="62"/>
        <v>7836.4520410143996</v>
      </c>
      <c r="AE42" s="373">
        <f t="shared" si="63"/>
        <v>65016.489695999997</v>
      </c>
      <c r="AF42" s="376">
        <f t="shared" si="92"/>
        <v>2925.7420363199999</v>
      </c>
      <c r="AG42" s="373">
        <f t="shared" si="64"/>
        <v>7836.4520410143996</v>
      </c>
      <c r="AH42" s="373">
        <f t="shared" si="65"/>
        <v>75852.571312</v>
      </c>
      <c r="AI42" s="376">
        <f t="shared" si="93"/>
        <v>2925.7420363199999</v>
      </c>
      <c r="AJ42" s="373">
        <f t="shared" si="66"/>
        <v>7836.4520410143996</v>
      </c>
      <c r="AK42" s="373">
        <f t="shared" si="67"/>
        <v>86688.652927999996</v>
      </c>
      <c r="AL42" s="376">
        <f>H42*0.27</f>
        <v>2925.7420363199999</v>
      </c>
      <c r="AM42" s="373">
        <f t="shared" si="68"/>
        <v>7836.4520410143996</v>
      </c>
      <c r="AN42" s="373">
        <f t="shared" si="69"/>
        <v>97524.734543999992</v>
      </c>
      <c r="AO42" s="377">
        <f>(AN42-88000)*0.35+(88000-AK42)*0.27</f>
        <v>3687.7207998399981</v>
      </c>
      <c r="AP42" s="373">
        <f t="shared" si="70"/>
        <v>7074.4732774944014</v>
      </c>
      <c r="AQ42" s="373">
        <f t="shared" si="71"/>
        <v>108360.81615999999</v>
      </c>
      <c r="AR42" s="377">
        <f>H42*0.35</f>
        <v>3792.6285655999995</v>
      </c>
      <c r="AS42" s="373">
        <f t="shared" si="72"/>
        <v>6969.5655117343995</v>
      </c>
      <c r="AT42" s="373">
        <f t="shared" si="73"/>
        <v>119196.897776</v>
      </c>
      <c r="AU42" s="377">
        <f t="shared" si="89"/>
        <v>3792.6285655999995</v>
      </c>
      <c r="AV42" s="373">
        <f t="shared" si="75"/>
        <v>6969.5655117343995</v>
      </c>
      <c r="AW42" s="373">
        <f t="shared" si="76"/>
        <v>130032.97939199999</v>
      </c>
      <c r="AX42" s="377">
        <f t="shared" si="90"/>
        <v>3792.6285655999995</v>
      </c>
      <c r="AY42" s="373">
        <f t="shared" si="78"/>
        <v>6969.5655117343995</v>
      </c>
      <c r="AZ42" s="292"/>
      <c r="BB42" s="358"/>
    </row>
    <row r="43" spans="1:54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48"/>
        <v>19984.079999999998</v>
      </c>
      <c r="G43" s="233">
        <v>359</v>
      </c>
      <c r="H43" s="353">
        <f t="shared" si="79"/>
        <v>9427.2039760000007</v>
      </c>
      <c r="I43" s="363">
        <v>0.34</v>
      </c>
      <c r="J43" s="362">
        <v>7000</v>
      </c>
      <c r="K43" s="361">
        <f t="shared" si="4"/>
        <v>6897.2603048250676</v>
      </c>
      <c r="L43" s="390"/>
      <c r="M43" s="390">
        <f t="shared" si="5"/>
        <v>6897.2603048250676</v>
      </c>
      <c r="N43" s="390">
        <f t="shared" si="49"/>
        <v>7337.5109625798596</v>
      </c>
      <c r="O43" s="372">
        <f t="shared" si="50"/>
        <v>64.588946241599999</v>
      </c>
      <c r="P43" s="373">
        <f t="shared" si="80"/>
        <v>9427.2039760000007</v>
      </c>
      <c r="Q43" s="378">
        <f t="shared" ref="Q43:Q54" si="94">P43*0.15</f>
        <v>1414.0805964000001</v>
      </c>
      <c r="R43" s="373">
        <f t="shared" si="52"/>
        <v>7948.5344333584007</v>
      </c>
      <c r="S43" s="373">
        <f t="shared" si="81"/>
        <v>18854.407952000001</v>
      </c>
      <c r="T43" s="374">
        <f t="shared" ref="T43:T51" si="95">(S43-10000)*0.2+(10000-P43)*0.15</f>
        <v>1856.8009940000002</v>
      </c>
      <c r="U43" s="373">
        <f t="shared" si="53"/>
        <v>7505.8140357584007</v>
      </c>
      <c r="V43" s="373">
        <f t="shared" si="54"/>
        <v>28281.611928000002</v>
      </c>
      <c r="W43" s="376">
        <f t="shared" si="91"/>
        <v>2115.1536301600004</v>
      </c>
      <c r="X43" s="373">
        <f t="shared" si="56"/>
        <v>7247.4613995984</v>
      </c>
      <c r="Y43" s="373">
        <f t="shared" si="57"/>
        <v>37708.815904000003</v>
      </c>
      <c r="Z43" s="376">
        <f t="shared" si="88"/>
        <v>2545.3450735200004</v>
      </c>
      <c r="AA43" s="373">
        <f t="shared" si="59"/>
        <v>6817.2699562384005</v>
      </c>
      <c r="AB43" s="373">
        <f t="shared" si="60"/>
        <v>47136.019880000007</v>
      </c>
      <c r="AC43" s="376">
        <f t="shared" si="61"/>
        <v>2545.3450735200004</v>
      </c>
      <c r="AD43" s="373">
        <f t="shared" si="62"/>
        <v>6817.2699562384005</v>
      </c>
      <c r="AE43" s="373">
        <f t="shared" si="63"/>
        <v>56563.223856000004</v>
      </c>
      <c r="AF43" s="376">
        <f t="shared" si="92"/>
        <v>2545.3450735200004</v>
      </c>
      <c r="AG43" s="373">
        <f t="shared" si="64"/>
        <v>6817.2699562384005</v>
      </c>
      <c r="AH43" s="373">
        <f t="shared" si="65"/>
        <v>65990.427832000001</v>
      </c>
      <c r="AI43" s="376">
        <f t="shared" si="93"/>
        <v>2545.3450735200004</v>
      </c>
      <c r="AJ43" s="373">
        <f t="shared" si="66"/>
        <v>6817.2699562384005</v>
      </c>
      <c r="AK43" s="373">
        <f t="shared" si="67"/>
        <v>75417.631808000006</v>
      </c>
      <c r="AL43" s="376">
        <f t="shared" ref="AL43:AL54" si="96">H43*0.27</f>
        <v>2545.3450735200004</v>
      </c>
      <c r="AM43" s="373">
        <f t="shared" si="68"/>
        <v>6817.2699562384005</v>
      </c>
      <c r="AN43" s="373">
        <f t="shared" si="69"/>
        <v>84844.83578400001</v>
      </c>
      <c r="AO43" s="376">
        <f>H43*0.27</f>
        <v>2545.3450735200004</v>
      </c>
      <c r="AP43" s="373">
        <f t="shared" si="70"/>
        <v>6817.2699562384005</v>
      </c>
      <c r="AQ43" s="373">
        <f t="shared" si="71"/>
        <v>94272.039760000014</v>
      </c>
      <c r="AR43" s="377">
        <f>(AQ43-88000)*0.35+(88000-AN43)*0.27</f>
        <v>3047.1082543200018</v>
      </c>
      <c r="AS43" s="373">
        <f t="shared" si="72"/>
        <v>6315.506775438399</v>
      </c>
      <c r="AT43" s="373">
        <f t="shared" si="73"/>
        <v>103699.243736</v>
      </c>
      <c r="AU43" s="377">
        <f t="shared" si="89"/>
        <v>3299.5213916000002</v>
      </c>
      <c r="AV43" s="373">
        <f t="shared" si="75"/>
        <v>6063.0936381584006</v>
      </c>
      <c r="AW43" s="373">
        <f t="shared" si="76"/>
        <v>113126.44771200001</v>
      </c>
      <c r="AX43" s="377">
        <f t="shared" si="90"/>
        <v>3299.5213916000002</v>
      </c>
      <c r="AY43" s="373">
        <f t="shared" si="78"/>
        <v>6063.0936381584006</v>
      </c>
      <c r="AZ43" s="292"/>
      <c r="BB43" s="358"/>
    </row>
    <row r="44" spans="1:54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48"/>
        <v>19984.079999999998</v>
      </c>
      <c r="G44" s="233">
        <v>359</v>
      </c>
      <c r="H44" s="353">
        <f t="shared" si="79"/>
        <v>9004.5406839999996</v>
      </c>
      <c r="I44" s="363">
        <v>0.31</v>
      </c>
      <c r="J44" s="362">
        <v>6700</v>
      </c>
      <c r="K44" s="361">
        <f t="shared" si="4"/>
        <v>6625.3187427522671</v>
      </c>
      <c r="L44" s="390"/>
      <c r="M44" s="390">
        <f t="shared" si="5"/>
        <v>6625.3187427522671</v>
      </c>
      <c r="N44" s="390">
        <f t="shared" si="49"/>
        <v>7048.2114284598592</v>
      </c>
      <c r="O44" s="372">
        <f t="shared" si="50"/>
        <v>61.799368514399994</v>
      </c>
      <c r="P44" s="373">
        <f t="shared" si="80"/>
        <v>9004.5406839999996</v>
      </c>
      <c r="Q44" s="378">
        <f t="shared" si="94"/>
        <v>1350.6811025999998</v>
      </c>
      <c r="R44" s="373">
        <f t="shared" si="52"/>
        <v>7592.0602128856008</v>
      </c>
      <c r="S44" s="373">
        <f t="shared" si="81"/>
        <v>18009.081367999999</v>
      </c>
      <c r="T44" s="374">
        <f t="shared" si="95"/>
        <v>1751.1351709999999</v>
      </c>
      <c r="U44" s="373">
        <f t="shared" si="53"/>
        <v>7191.6061444856005</v>
      </c>
      <c r="V44" s="373">
        <f t="shared" si="54"/>
        <v>27013.622051999999</v>
      </c>
      <c r="W44" s="376">
        <f t="shared" si="91"/>
        <v>1941.8616804399999</v>
      </c>
      <c r="X44" s="373">
        <f t="shared" si="56"/>
        <v>7000.8796350456005</v>
      </c>
      <c r="Y44" s="373">
        <f t="shared" si="57"/>
        <v>36018.162735999998</v>
      </c>
      <c r="Z44" s="376">
        <f t="shared" si="88"/>
        <v>2431.2259846800002</v>
      </c>
      <c r="AA44" s="373">
        <f t="shared" si="59"/>
        <v>6511.5153308055997</v>
      </c>
      <c r="AB44" s="373">
        <f t="shared" si="60"/>
        <v>45022.703419999998</v>
      </c>
      <c r="AC44" s="376">
        <f t="shared" si="61"/>
        <v>2431.2259846800002</v>
      </c>
      <c r="AD44" s="373">
        <f t="shared" si="62"/>
        <v>6511.5153308055997</v>
      </c>
      <c r="AE44" s="373">
        <f t="shared" si="63"/>
        <v>54027.244103999998</v>
      </c>
      <c r="AF44" s="376">
        <f t="shared" si="92"/>
        <v>2431.2259846800002</v>
      </c>
      <c r="AG44" s="373">
        <f t="shared" si="64"/>
        <v>6511.5153308055997</v>
      </c>
      <c r="AH44" s="373">
        <f t="shared" si="65"/>
        <v>63031.784787999997</v>
      </c>
      <c r="AI44" s="376">
        <f t="shared" si="93"/>
        <v>2431.2259846800002</v>
      </c>
      <c r="AJ44" s="373">
        <f t="shared" si="66"/>
        <v>6511.5153308055997</v>
      </c>
      <c r="AK44" s="373">
        <f t="shared" si="67"/>
        <v>72036.325471999997</v>
      </c>
      <c r="AL44" s="376">
        <f t="shared" si="96"/>
        <v>2431.2259846800002</v>
      </c>
      <c r="AM44" s="373">
        <f t="shared" si="68"/>
        <v>6511.5153308055997</v>
      </c>
      <c r="AN44" s="373">
        <f t="shared" si="69"/>
        <v>81040.866156000004</v>
      </c>
      <c r="AO44" s="376">
        <f>H44*0.27</f>
        <v>2431.2259846800002</v>
      </c>
      <c r="AP44" s="373">
        <f t="shared" si="70"/>
        <v>6511.5153308055997</v>
      </c>
      <c r="AQ44" s="373">
        <f t="shared" si="71"/>
        <v>90045.406839999996</v>
      </c>
      <c r="AR44" s="377">
        <f>(AQ44-88000)*0.35+(88000-AN44)*0.27</f>
        <v>2594.8585318799978</v>
      </c>
      <c r="AS44" s="373">
        <f t="shared" si="72"/>
        <v>6347.8827836056025</v>
      </c>
      <c r="AT44" s="373">
        <f t="shared" si="73"/>
        <v>99049.947523999988</v>
      </c>
      <c r="AU44" s="377">
        <f t="shared" si="89"/>
        <v>3151.5892393999998</v>
      </c>
      <c r="AV44" s="373">
        <f t="shared" si="75"/>
        <v>5791.1520760856001</v>
      </c>
      <c r="AW44" s="373">
        <f t="shared" si="76"/>
        <v>108054.488208</v>
      </c>
      <c r="AX44" s="377">
        <f t="shared" si="90"/>
        <v>3151.5892393999998</v>
      </c>
      <c r="AY44" s="373">
        <f t="shared" si="78"/>
        <v>5791.1520760856001</v>
      </c>
      <c r="AZ44" s="292"/>
      <c r="BB44" s="358"/>
    </row>
    <row r="45" spans="1:54" ht="28.5" x14ac:dyDescent="0.45">
      <c r="A45" s="716"/>
      <c r="B45" s="461" t="s">
        <v>226</v>
      </c>
      <c r="C45" s="231">
        <v>200</v>
      </c>
      <c r="D45" s="234">
        <v>4996.0199999999995</v>
      </c>
      <c r="E45" s="234">
        <v>6661.36</v>
      </c>
      <c r="F45" s="234">
        <f t="shared" si="48"/>
        <v>11657.38</v>
      </c>
      <c r="G45" s="233">
        <v>359</v>
      </c>
      <c r="H45" s="353">
        <f t="shared" si="79"/>
        <v>9208.0452320000004</v>
      </c>
      <c r="I45" s="363">
        <v>0.73</v>
      </c>
      <c r="J45" s="362">
        <v>6800</v>
      </c>
      <c r="K45" s="361">
        <f t="shared" si="4"/>
        <v>6756.2535689354663</v>
      </c>
      <c r="L45" s="390"/>
      <c r="M45" s="390">
        <f t="shared" si="5"/>
        <v>6756.2535689354663</v>
      </c>
      <c r="N45" s="390">
        <f t="shared" si="49"/>
        <v>7187.5037967398584</v>
      </c>
      <c r="O45" s="372">
        <f t="shared" si="50"/>
        <v>63.142498531200005</v>
      </c>
      <c r="P45" s="373">
        <f t="shared" si="80"/>
        <v>9208.0452320000004</v>
      </c>
      <c r="Q45" s="378">
        <f t="shared" si="94"/>
        <v>1381.2067847999999</v>
      </c>
      <c r="R45" s="373">
        <f t="shared" si="52"/>
        <v>7763.6959486688002</v>
      </c>
      <c r="S45" s="373">
        <f t="shared" si="81"/>
        <v>18416.090464000001</v>
      </c>
      <c r="T45" s="374">
        <f t="shared" si="95"/>
        <v>1802.0113080000001</v>
      </c>
      <c r="U45" s="373">
        <f t="shared" si="53"/>
        <v>7342.8914254687998</v>
      </c>
      <c r="V45" s="373">
        <f t="shared" si="54"/>
        <v>27624.135696000001</v>
      </c>
      <c r="W45" s="376">
        <f t="shared" si="91"/>
        <v>2025.2985451200002</v>
      </c>
      <c r="X45" s="373">
        <f t="shared" si="56"/>
        <v>7119.6041883487997</v>
      </c>
      <c r="Y45" s="373">
        <f t="shared" si="57"/>
        <v>36832.180928000002</v>
      </c>
      <c r="Z45" s="376">
        <f t="shared" si="88"/>
        <v>2486.1722126400005</v>
      </c>
      <c r="AA45" s="373">
        <f t="shared" si="59"/>
        <v>6658.7305208287999</v>
      </c>
      <c r="AB45" s="373">
        <f t="shared" si="60"/>
        <v>46040.226160000006</v>
      </c>
      <c r="AC45" s="376">
        <f t="shared" si="61"/>
        <v>2486.1722126400005</v>
      </c>
      <c r="AD45" s="373">
        <f t="shared" si="62"/>
        <v>6658.7305208287999</v>
      </c>
      <c r="AE45" s="373">
        <f t="shared" si="63"/>
        <v>55248.271392000002</v>
      </c>
      <c r="AF45" s="376">
        <f t="shared" si="92"/>
        <v>2486.1722126400005</v>
      </c>
      <c r="AG45" s="373">
        <f t="shared" si="64"/>
        <v>6658.7305208287999</v>
      </c>
      <c r="AH45" s="373">
        <f t="shared" si="65"/>
        <v>64456.316623999999</v>
      </c>
      <c r="AI45" s="376">
        <f t="shared" si="93"/>
        <v>2486.1722126400005</v>
      </c>
      <c r="AJ45" s="373">
        <f t="shared" si="66"/>
        <v>6658.7305208287999</v>
      </c>
      <c r="AK45" s="373">
        <f t="shared" si="67"/>
        <v>73664.361856000003</v>
      </c>
      <c r="AL45" s="376">
        <f t="shared" si="96"/>
        <v>2486.1722126400005</v>
      </c>
      <c r="AM45" s="373">
        <f t="shared" si="68"/>
        <v>6658.7305208287999</v>
      </c>
      <c r="AN45" s="373">
        <f t="shared" si="69"/>
        <v>82872.407088000007</v>
      </c>
      <c r="AO45" s="376">
        <f>H45*0.27</f>
        <v>2486.1722126400005</v>
      </c>
      <c r="AP45" s="373">
        <f t="shared" si="70"/>
        <v>6658.7305208287999</v>
      </c>
      <c r="AQ45" s="373">
        <f t="shared" si="71"/>
        <v>92080.452320000011</v>
      </c>
      <c r="AR45" s="377">
        <f>(AQ45-88000)*0.35+(88000-AN45)*0.27</f>
        <v>2812.6083982400023</v>
      </c>
      <c r="AS45" s="373">
        <f t="shared" si="72"/>
        <v>6332.2943352287975</v>
      </c>
      <c r="AT45" s="373">
        <f t="shared" si="73"/>
        <v>101288.497552</v>
      </c>
      <c r="AU45" s="377">
        <f t="shared" si="89"/>
        <v>3222.8158312</v>
      </c>
      <c r="AV45" s="373">
        <f t="shared" si="75"/>
        <v>5922.0869022688003</v>
      </c>
      <c r="AW45" s="373">
        <f t="shared" si="76"/>
        <v>110496.542784</v>
      </c>
      <c r="AX45" s="377">
        <f t="shared" si="90"/>
        <v>3222.8158312</v>
      </c>
      <c r="AY45" s="373">
        <f t="shared" si="78"/>
        <v>5922.0869022688003</v>
      </c>
      <c r="AZ45" s="292"/>
      <c r="BB45" s="358"/>
    </row>
    <row r="46" spans="1:54" ht="28.5" x14ac:dyDescent="0.45">
      <c r="A46" s="716"/>
      <c r="B46" s="461" t="s">
        <v>227</v>
      </c>
      <c r="C46" s="231">
        <v>200</v>
      </c>
      <c r="D46" s="234">
        <v>4996.0199999999995</v>
      </c>
      <c r="E46" s="234">
        <v>6661.36</v>
      </c>
      <c r="F46" s="234">
        <f t="shared" si="48"/>
        <v>11657.38</v>
      </c>
      <c r="G46" s="233">
        <v>359</v>
      </c>
      <c r="H46" s="353">
        <f t="shared" si="79"/>
        <v>8080.9431199999999</v>
      </c>
      <c r="I46" s="363">
        <v>0.55000000000000004</v>
      </c>
      <c r="J46" s="362">
        <v>6000</v>
      </c>
      <c r="K46" s="361">
        <f t="shared" si="4"/>
        <v>6025.1402412746656</v>
      </c>
      <c r="L46" s="390"/>
      <c r="M46" s="390">
        <f t="shared" si="5"/>
        <v>6025.1402412746656</v>
      </c>
      <c r="N46" s="390">
        <f t="shared" si="49"/>
        <v>6409.7236609304955</v>
      </c>
      <c r="O46" s="372">
        <f t="shared" si="50"/>
        <v>55.703624591999997</v>
      </c>
      <c r="P46" s="373">
        <f t="shared" si="80"/>
        <v>8080.9431199999999</v>
      </c>
      <c r="Q46" s="378">
        <f t="shared" si="94"/>
        <v>1212.141468</v>
      </c>
      <c r="R46" s="373">
        <f t="shared" si="52"/>
        <v>6813.0980274080002</v>
      </c>
      <c r="S46" s="373">
        <f t="shared" si="81"/>
        <v>16161.88624</v>
      </c>
      <c r="T46" s="374">
        <f t="shared" si="95"/>
        <v>1520.23578</v>
      </c>
      <c r="U46" s="373">
        <f t="shared" si="53"/>
        <v>6505.0037154080001</v>
      </c>
      <c r="V46" s="373">
        <f t="shared" si="54"/>
        <v>24242.82936</v>
      </c>
      <c r="W46" s="374">
        <f>H46*0.2</f>
        <v>1616.1886240000001</v>
      </c>
      <c r="X46" s="373">
        <f t="shared" si="56"/>
        <v>6409.0508714079997</v>
      </c>
      <c r="Y46" s="373">
        <f t="shared" si="57"/>
        <v>32323.77248</v>
      </c>
      <c r="Z46" s="376">
        <f>(Y46-25000)*0.27+(25000-V46)*0.2</f>
        <v>2128.8526975999998</v>
      </c>
      <c r="AA46" s="373">
        <f t="shared" si="59"/>
        <v>5896.3867978079998</v>
      </c>
      <c r="AB46" s="373">
        <f t="shared" si="60"/>
        <v>40404.715599999996</v>
      </c>
      <c r="AC46" s="376">
        <f t="shared" si="61"/>
        <v>2181.8546424000001</v>
      </c>
      <c r="AD46" s="373">
        <f t="shared" si="62"/>
        <v>5843.3848530079995</v>
      </c>
      <c r="AE46" s="373">
        <f t="shared" si="63"/>
        <v>48485.658719999999</v>
      </c>
      <c r="AF46" s="376">
        <f t="shared" si="92"/>
        <v>2181.8546424000001</v>
      </c>
      <c r="AG46" s="373">
        <f t="shared" si="64"/>
        <v>5843.3848530079995</v>
      </c>
      <c r="AH46" s="373">
        <f t="shared" si="65"/>
        <v>56566.601840000003</v>
      </c>
      <c r="AI46" s="376">
        <f t="shared" si="93"/>
        <v>2181.8546424000001</v>
      </c>
      <c r="AJ46" s="373">
        <f t="shared" si="66"/>
        <v>5843.3848530079995</v>
      </c>
      <c r="AK46" s="373">
        <f t="shared" si="67"/>
        <v>64647.544959999999</v>
      </c>
      <c r="AL46" s="376">
        <f t="shared" si="96"/>
        <v>2181.8546424000001</v>
      </c>
      <c r="AM46" s="373">
        <f t="shared" si="68"/>
        <v>5843.3848530079995</v>
      </c>
      <c r="AN46" s="373">
        <f t="shared" si="69"/>
        <v>72728.488079999996</v>
      </c>
      <c r="AO46" s="376">
        <f>H46*0.27</f>
        <v>2181.8546424000001</v>
      </c>
      <c r="AP46" s="373">
        <f t="shared" si="70"/>
        <v>5843.3848530079995</v>
      </c>
      <c r="AQ46" s="373">
        <f t="shared" si="71"/>
        <v>80809.431199999992</v>
      </c>
      <c r="AR46" s="376">
        <f>H46*0.27</f>
        <v>2181.8546424000001</v>
      </c>
      <c r="AS46" s="373">
        <f t="shared" si="72"/>
        <v>5843.3848530079995</v>
      </c>
      <c r="AT46" s="373">
        <f t="shared" si="73"/>
        <v>88890.374320000003</v>
      </c>
      <c r="AU46" s="377">
        <f>(AT46-88000)*0.35+(88000-AQ46)*0.27</f>
        <v>2253.0845880000034</v>
      </c>
      <c r="AV46" s="373">
        <f t="shared" si="75"/>
        <v>5772.1549074079967</v>
      </c>
      <c r="AW46" s="373">
        <f t="shared" si="76"/>
        <v>96971.317439999999</v>
      </c>
      <c r="AX46" s="377">
        <f>(AW46-88000)*0.35+(88000-AT46)*0.27</f>
        <v>2899.5600375999989</v>
      </c>
      <c r="AY46" s="373">
        <f t="shared" si="78"/>
        <v>5125.6794578080007</v>
      </c>
      <c r="AZ46" s="292"/>
      <c r="BB46" s="358"/>
    </row>
    <row r="47" spans="1:54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48"/>
        <v>13988.856</v>
      </c>
      <c r="G47" s="233">
        <v>359</v>
      </c>
      <c r="H47" s="353">
        <f t="shared" si="79"/>
        <v>9878.044820799998</v>
      </c>
      <c r="I47" s="363">
        <v>0.62</v>
      </c>
      <c r="J47" s="362">
        <v>7351</v>
      </c>
      <c r="K47" s="361">
        <f t="shared" si="4"/>
        <v>7187.3313043693861</v>
      </c>
      <c r="L47" s="390"/>
      <c r="M47" s="390">
        <f t="shared" si="5"/>
        <v>7187.3313043693861</v>
      </c>
      <c r="N47" s="390">
        <f t="shared" si="49"/>
        <v>7646.0971323078584</v>
      </c>
      <c r="O47" s="372">
        <f t="shared" si="50"/>
        <v>67.56449581727999</v>
      </c>
      <c r="P47" s="373">
        <f t="shared" si="80"/>
        <v>9878.044820799998</v>
      </c>
      <c r="Q47" s="378">
        <f t="shared" si="94"/>
        <v>1481.7067231199997</v>
      </c>
      <c r="R47" s="373">
        <f t="shared" si="52"/>
        <v>8328.7736018627184</v>
      </c>
      <c r="S47" s="373">
        <f t="shared" si="81"/>
        <v>19756.089641599996</v>
      </c>
      <c r="T47" s="374">
        <f t="shared" si="95"/>
        <v>1969.5112051999997</v>
      </c>
      <c r="U47" s="373">
        <f t="shared" si="53"/>
        <v>7840.9691197827187</v>
      </c>
      <c r="V47" s="373">
        <f t="shared" si="54"/>
        <v>29634.134462399994</v>
      </c>
      <c r="W47" s="376">
        <f>(V47-25000)*0.27+(25000-S47)*0.2</f>
        <v>2299.9983765279994</v>
      </c>
      <c r="X47" s="373">
        <f t="shared" si="56"/>
        <v>7510.4819484547188</v>
      </c>
      <c r="Y47" s="373">
        <f t="shared" si="57"/>
        <v>39512.179283199992</v>
      </c>
      <c r="Z47" s="376">
        <f>H47*0.27</f>
        <v>2667.0721016159996</v>
      </c>
      <c r="AA47" s="373">
        <f t="shared" si="59"/>
        <v>7143.4082233667186</v>
      </c>
      <c r="AB47" s="373">
        <f t="shared" si="60"/>
        <v>49390.224103999994</v>
      </c>
      <c r="AC47" s="376">
        <f t="shared" si="61"/>
        <v>2667.0721016159996</v>
      </c>
      <c r="AD47" s="373">
        <f t="shared" si="62"/>
        <v>7143.4082233667186</v>
      </c>
      <c r="AE47" s="373">
        <f t="shared" si="63"/>
        <v>59268.268924799988</v>
      </c>
      <c r="AF47" s="376">
        <f t="shared" si="92"/>
        <v>2667.0721016159996</v>
      </c>
      <c r="AG47" s="373">
        <f t="shared" si="64"/>
        <v>7143.4082233667186</v>
      </c>
      <c r="AH47" s="373">
        <f t="shared" si="65"/>
        <v>69146.313745599982</v>
      </c>
      <c r="AI47" s="376">
        <f t="shared" si="93"/>
        <v>2667.0721016159996</v>
      </c>
      <c r="AJ47" s="373">
        <f t="shared" si="66"/>
        <v>7143.4082233667186</v>
      </c>
      <c r="AK47" s="373">
        <f t="shared" si="67"/>
        <v>79024.358566399984</v>
      </c>
      <c r="AL47" s="376">
        <f t="shared" si="96"/>
        <v>2667.0721016159996</v>
      </c>
      <c r="AM47" s="373">
        <f t="shared" si="68"/>
        <v>7143.4082233667186</v>
      </c>
      <c r="AN47" s="373">
        <f t="shared" si="69"/>
        <v>88902.403387199985</v>
      </c>
      <c r="AO47" s="377">
        <f>(AN47-88000)*0.35+(88000-AK47)*0.27</f>
        <v>2739.2643725919993</v>
      </c>
      <c r="AP47" s="373">
        <f t="shared" si="70"/>
        <v>7071.2159523907194</v>
      </c>
      <c r="AQ47" s="373">
        <f t="shared" si="71"/>
        <v>98780.448207999987</v>
      </c>
      <c r="AR47" s="377">
        <f>H47*0.35</f>
        <v>3457.3156872799991</v>
      </c>
      <c r="AS47" s="373">
        <f t="shared" si="72"/>
        <v>6353.1646377027191</v>
      </c>
      <c r="AT47" s="373">
        <f t="shared" si="73"/>
        <v>108658.49302879997</v>
      </c>
      <c r="AU47" s="377">
        <f>H47*0.35</f>
        <v>3457.3156872799991</v>
      </c>
      <c r="AV47" s="373">
        <f t="shared" si="75"/>
        <v>6353.1646377027191</v>
      </c>
      <c r="AW47" s="373">
        <f t="shared" si="76"/>
        <v>118536.53784959998</v>
      </c>
      <c r="AX47" s="377">
        <f>H47*0.35</f>
        <v>3457.3156872799991</v>
      </c>
      <c r="AY47" s="373">
        <f t="shared" si="78"/>
        <v>6353.1646377027191</v>
      </c>
      <c r="AZ47" s="292"/>
      <c r="BB47" s="358"/>
    </row>
    <row r="48" spans="1:54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48"/>
        <v>13988.856</v>
      </c>
      <c r="G48" s="233">
        <v>359</v>
      </c>
      <c r="H48" s="353">
        <f t="shared" si="79"/>
        <v>8018.3263359999983</v>
      </c>
      <c r="I48" s="463">
        <v>0.4</v>
      </c>
      <c r="J48" s="362">
        <v>6000</v>
      </c>
      <c r="K48" s="361">
        <f t="shared" si="4"/>
        <v>5990.7884312490669</v>
      </c>
      <c r="L48" s="390"/>
      <c r="M48" s="390">
        <f t="shared" si="5"/>
        <v>5990.7884312490669</v>
      </c>
      <c r="N48" s="390">
        <f t="shared" si="49"/>
        <v>6373.1791821798588</v>
      </c>
      <c r="O48" s="372">
        <f t="shared" si="50"/>
        <v>55.290353817599986</v>
      </c>
      <c r="P48" s="373">
        <f t="shared" si="80"/>
        <v>8018.3263359999983</v>
      </c>
      <c r="Q48" s="378">
        <f t="shared" si="94"/>
        <v>1202.7489503999998</v>
      </c>
      <c r="R48" s="373">
        <f t="shared" si="52"/>
        <v>6760.287031782399</v>
      </c>
      <c r="S48" s="373">
        <f t="shared" si="81"/>
        <v>16036.652671999997</v>
      </c>
      <c r="T48" s="374">
        <f t="shared" si="95"/>
        <v>1504.5815839999996</v>
      </c>
      <c r="U48" s="373">
        <f t="shared" si="53"/>
        <v>6458.454398182399</v>
      </c>
      <c r="V48" s="373">
        <f t="shared" si="54"/>
        <v>24054.979007999995</v>
      </c>
      <c r="W48" s="374">
        <f>H48*0.2</f>
        <v>1603.6652671999998</v>
      </c>
      <c r="X48" s="373">
        <f t="shared" si="56"/>
        <v>6359.3707149823986</v>
      </c>
      <c r="Y48" s="373">
        <f t="shared" si="57"/>
        <v>32073.305343999993</v>
      </c>
      <c r="Z48" s="376">
        <f>(Y48-25000)*0.27+(25000-V48)*0.2</f>
        <v>2098.7966412799992</v>
      </c>
      <c r="AA48" s="373">
        <f t="shared" si="59"/>
        <v>5864.2393409023989</v>
      </c>
      <c r="AB48" s="373">
        <f t="shared" si="60"/>
        <v>40091.631679999991</v>
      </c>
      <c r="AC48" s="376">
        <f t="shared" si="61"/>
        <v>2164.9481107199995</v>
      </c>
      <c r="AD48" s="373">
        <f t="shared" si="62"/>
        <v>5798.0878714623996</v>
      </c>
      <c r="AE48" s="373">
        <f t="shared" si="63"/>
        <v>48109.95801599999</v>
      </c>
      <c r="AF48" s="376">
        <f t="shared" si="92"/>
        <v>2164.9481107199995</v>
      </c>
      <c r="AG48" s="373">
        <f t="shared" si="64"/>
        <v>5798.0878714623996</v>
      </c>
      <c r="AH48" s="373">
        <f t="shared" si="65"/>
        <v>56128.284351999988</v>
      </c>
      <c r="AI48" s="376">
        <f t="shared" si="93"/>
        <v>2164.9481107199995</v>
      </c>
      <c r="AJ48" s="373">
        <f t="shared" si="66"/>
        <v>5798.0878714623996</v>
      </c>
      <c r="AK48" s="373">
        <f t="shared" si="67"/>
        <v>64146.610687999986</v>
      </c>
      <c r="AL48" s="376">
        <f t="shared" si="96"/>
        <v>2164.9481107199995</v>
      </c>
      <c r="AM48" s="373">
        <f t="shared" si="68"/>
        <v>5798.0878714623996</v>
      </c>
      <c r="AN48" s="373">
        <f t="shared" si="69"/>
        <v>72164.937023999984</v>
      </c>
      <c r="AO48" s="376">
        <f t="shared" ref="AO48:AO54" si="97">H48*0.27</f>
        <v>2164.9481107199995</v>
      </c>
      <c r="AP48" s="373">
        <f t="shared" si="70"/>
        <v>5798.0878714623996</v>
      </c>
      <c r="AQ48" s="373">
        <f t="shared" si="71"/>
        <v>80183.263359999983</v>
      </c>
      <c r="AR48" s="376">
        <f>H48*0.27</f>
        <v>2164.9481107199995</v>
      </c>
      <c r="AS48" s="373">
        <f t="shared" si="72"/>
        <v>5798.0878714623996</v>
      </c>
      <c r="AT48" s="373">
        <f t="shared" si="73"/>
        <v>88201.589695999981</v>
      </c>
      <c r="AU48" s="377">
        <f>(AT48-88000)*0.35+(88000-AQ48)*0.27</f>
        <v>2181.0752863999983</v>
      </c>
      <c r="AV48" s="373">
        <f t="shared" si="75"/>
        <v>5781.9606957823999</v>
      </c>
      <c r="AW48" s="373">
        <f t="shared" si="76"/>
        <v>96219.916031999979</v>
      </c>
      <c r="AX48" s="377">
        <f>H48*0.35</f>
        <v>2806.4142175999991</v>
      </c>
      <c r="AY48" s="373">
        <f t="shared" si="78"/>
        <v>5156.6217645823999</v>
      </c>
      <c r="AZ48" s="292"/>
      <c r="BB48" s="358"/>
    </row>
    <row r="49" spans="1:54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48"/>
        <v>10991.243999999999</v>
      </c>
      <c r="G49" s="233">
        <v>359</v>
      </c>
      <c r="H49" s="353">
        <f t="shared" si="79"/>
        <v>8131.0365471999994</v>
      </c>
      <c r="I49" s="363">
        <v>0.62</v>
      </c>
      <c r="J49" s="362">
        <v>6100</v>
      </c>
      <c r="K49" s="361">
        <f t="shared" si="4"/>
        <v>6063.3061811351463</v>
      </c>
      <c r="L49" s="390"/>
      <c r="M49" s="390">
        <f t="shared" si="5"/>
        <v>6063.3061811351463</v>
      </c>
      <c r="N49" s="390">
        <f t="shared" si="49"/>
        <v>6450.3257246118583</v>
      </c>
      <c r="O49" s="372">
        <f t="shared" si="50"/>
        <v>56.034241211519998</v>
      </c>
      <c r="P49" s="373">
        <f t="shared" si="80"/>
        <v>8131.0365471999994</v>
      </c>
      <c r="Q49" s="378">
        <f t="shared" si="94"/>
        <v>1219.65548208</v>
      </c>
      <c r="R49" s="373">
        <f t="shared" si="52"/>
        <v>6855.3468239084796</v>
      </c>
      <c r="S49" s="373">
        <f t="shared" si="81"/>
        <v>16262.073094399999</v>
      </c>
      <c r="T49" s="374">
        <f t="shared" si="95"/>
        <v>1532.7591367999999</v>
      </c>
      <c r="U49" s="373">
        <f t="shared" si="53"/>
        <v>6542.2431691884794</v>
      </c>
      <c r="V49" s="373">
        <f t="shared" si="54"/>
        <v>24393.1096416</v>
      </c>
      <c r="W49" s="374">
        <f>H49*0.2</f>
        <v>1626.20730944</v>
      </c>
      <c r="X49" s="373">
        <f t="shared" si="56"/>
        <v>6448.7949965484795</v>
      </c>
      <c r="Y49" s="373">
        <f t="shared" si="57"/>
        <v>32524.146188799998</v>
      </c>
      <c r="Z49" s="376">
        <f>(Y49-25000)*0.27+(25000-V49)*0.2</f>
        <v>2152.8975426559996</v>
      </c>
      <c r="AA49" s="373">
        <f t="shared" si="59"/>
        <v>5922.1047633324797</v>
      </c>
      <c r="AB49" s="373">
        <f t="shared" si="60"/>
        <v>40655.182735999995</v>
      </c>
      <c r="AC49" s="376">
        <f t="shared" si="61"/>
        <v>2195.379867744</v>
      </c>
      <c r="AD49" s="373">
        <f t="shared" si="62"/>
        <v>5879.6224382444798</v>
      </c>
      <c r="AE49" s="373">
        <f t="shared" si="63"/>
        <v>48786.2192832</v>
      </c>
      <c r="AF49" s="376">
        <f t="shared" si="92"/>
        <v>2195.379867744</v>
      </c>
      <c r="AG49" s="373">
        <f t="shared" si="64"/>
        <v>5879.6224382444798</v>
      </c>
      <c r="AH49" s="373">
        <f t="shared" si="65"/>
        <v>56917.255830399998</v>
      </c>
      <c r="AI49" s="376">
        <f t="shared" si="93"/>
        <v>2195.379867744</v>
      </c>
      <c r="AJ49" s="373">
        <f t="shared" si="66"/>
        <v>5879.6224382444798</v>
      </c>
      <c r="AK49" s="373">
        <f t="shared" si="67"/>
        <v>65048.292377599995</v>
      </c>
      <c r="AL49" s="376">
        <f t="shared" si="96"/>
        <v>2195.379867744</v>
      </c>
      <c r="AM49" s="373">
        <f t="shared" si="68"/>
        <v>5879.6224382444798</v>
      </c>
      <c r="AN49" s="373">
        <f t="shared" si="69"/>
        <v>73179.328924799993</v>
      </c>
      <c r="AO49" s="376">
        <f t="shared" si="97"/>
        <v>2195.379867744</v>
      </c>
      <c r="AP49" s="373">
        <f t="shared" si="70"/>
        <v>5879.6224382444798</v>
      </c>
      <c r="AQ49" s="373">
        <f t="shared" si="71"/>
        <v>81310.36547199999</v>
      </c>
      <c r="AR49" s="376">
        <f>H49*0.27</f>
        <v>2195.379867744</v>
      </c>
      <c r="AS49" s="373">
        <f t="shared" si="72"/>
        <v>5879.6224382444798</v>
      </c>
      <c r="AT49" s="373">
        <f t="shared" si="73"/>
        <v>89441.402019199988</v>
      </c>
      <c r="AU49" s="377">
        <f>(AT49-88000)*0.35+(88000-AQ49)*0.27</f>
        <v>2310.6920292799982</v>
      </c>
      <c r="AV49" s="373">
        <f t="shared" si="75"/>
        <v>5764.310276708482</v>
      </c>
      <c r="AW49" s="373">
        <f t="shared" si="76"/>
        <v>97572.4385664</v>
      </c>
      <c r="AX49" s="377">
        <f>H49*0.35</f>
        <v>2845.8627915199995</v>
      </c>
      <c r="AY49" s="373">
        <f t="shared" si="78"/>
        <v>5229.1395144684802</v>
      </c>
      <c r="AZ49" s="292"/>
      <c r="BB49" s="358"/>
    </row>
    <row r="50" spans="1:54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48"/>
        <v>10991.243999999999</v>
      </c>
      <c r="G50" s="233">
        <v>359</v>
      </c>
      <c r="H50" s="353">
        <f t="shared" si="79"/>
        <v>7116.6446464000001</v>
      </c>
      <c r="I50" s="363">
        <v>0.44</v>
      </c>
      <c r="J50" s="362">
        <v>5400</v>
      </c>
      <c r="K50" s="361">
        <f t="shared" si="4"/>
        <v>5393.3113372057587</v>
      </c>
      <c r="L50" s="390"/>
      <c r="M50" s="390">
        <f t="shared" si="5"/>
        <v>5393.3113372057587</v>
      </c>
      <c r="N50" s="390">
        <f t="shared" si="49"/>
        <v>5737.5652523465524</v>
      </c>
      <c r="O50" s="372">
        <f t="shared" si="50"/>
        <v>49.339254666240002</v>
      </c>
      <c r="P50" s="373">
        <f t="shared" si="80"/>
        <v>7116.6446464000001</v>
      </c>
      <c r="Q50" s="378">
        <f t="shared" si="94"/>
        <v>1067.49669696</v>
      </c>
      <c r="R50" s="373">
        <f t="shared" si="52"/>
        <v>5999.8086947737602</v>
      </c>
      <c r="S50" s="373">
        <f t="shared" si="81"/>
        <v>14233.2892928</v>
      </c>
      <c r="T50" s="374">
        <f t="shared" si="95"/>
        <v>1279.1611616</v>
      </c>
      <c r="U50" s="373">
        <f t="shared" si="53"/>
        <v>5788.1442301337602</v>
      </c>
      <c r="V50" s="373">
        <f t="shared" si="54"/>
        <v>21349.9339392</v>
      </c>
      <c r="W50" s="374">
        <f>H50*0.2</f>
        <v>1423.32892928</v>
      </c>
      <c r="X50" s="373">
        <f t="shared" si="56"/>
        <v>5643.9764624537602</v>
      </c>
      <c r="Y50" s="373">
        <f t="shared" si="57"/>
        <v>28466.5785856</v>
      </c>
      <c r="Z50" s="376">
        <f>(Y50-25000)*0.27+(25000-V50)*0.2</f>
        <v>1665.9894302719999</v>
      </c>
      <c r="AA50" s="373">
        <f t="shared" si="59"/>
        <v>5401.3159614617598</v>
      </c>
      <c r="AB50" s="373">
        <f t="shared" si="60"/>
        <v>35583.223232000004</v>
      </c>
      <c r="AC50" s="376">
        <f t="shared" si="61"/>
        <v>1921.4940545280001</v>
      </c>
      <c r="AD50" s="373">
        <f t="shared" si="62"/>
        <v>5145.8113372057596</v>
      </c>
      <c r="AE50" s="373">
        <f t="shared" si="63"/>
        <v>42699.8678784</v>
      </c>
      <c r="AF50" s="376">
        <f t="shared" si="92"/>
        <v>1921.4940545280001</v>
      </c>
      <c r="AG50" s="373">
        <f t="shared" si="64"/>
        <v>5145.8113372057596</v>
      </c>
      <c r="AH50" s="373">
        <f t="shared" si="65"/>
        <v>49816.512524799997</v>
      </c>
      <c r="AI50" s="376">
        <f t="shared" si="93"/>
        <v>1921.4940545280001</v>
      </c>
      <c r="AJ50" s="373">
        <f t="shared" si="66"/>
        <v>5145.8113372057596</v>
      </c>
      <c r="AK50" s="373">
        <f t="shared" si="67"/>
        <v>56933.1571712</v>
      </c>
      <c r="AL50" s="376">
        <f t="shared" si="96"/>
        <v>1921.4940545280001</v>
      </c>
      <c r="AM50" s="373">
        <f t="shared" si="68"/>
        <v>5145.8113372057596</v>
      </c>
      <c r="AN50" s="373">
        <f t="shared" si="69"/>
        <v>64049.801817600004</v>
      </c>
      <c r="AO50" s="376">
        <f t="shared" si="97"/>
        <v>1921.4940545280001</v>
      </c>
      <c r="AP50" s="373">
        <f t="shared" si="70"/>
        <v>5145.8113372057596</v>
      </c>
      <c r="AQ50" s="373">
        <f t="shared" si="71"/>
        <v>71166.446464000008</v>
      </c>
      <c r="AR50" s="376">
        <f>H50*0.27</f>
        <v>1921.4940545280001</v>
      </c>
      <c r="AS50" s="373">
        <f t="shared" si="72"/>
        <v>5145.8113372057596</v>
      </c>
      <c r="AT50" s="373">
        <f t="shared" si="73"/>
        <v>78283.091110399997</v>
      </c>
      <c r="AU50" s="376">
        <f>H50*0.27</f>
        <v>1921.4940545280001</v>
      </c>
      <c r="AV50" s="373">
        <f t="shared" si="75"/>
        <v>5145.8113372057596</v>
      </c>
      <c r="AW50" s="373">
        <f t="shared" si="76"/>
        <v>85399.735756800001</v>
      </c>
      <c r="AX50" s="376">
        <f t="shared" ref="AX50:AX54" si="98">H50*0.27</f>
        <v>1921.4940545280001</v>
      </c>
      <c r="AY50" s="373">
        <f t="shared" si="78"/>
        <v>5145.8113372057596</v>
      </c>
      <c r="AZ50" s="292"/>
      <c r="BB50" s="358"/>
    </row>
    <row r="51" spans="1:54" ht="28.5" x14ac:dyDescent="0.45">
      <c r="A51" s="718"/>
      <c r="B51" s="394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48"/>
        <v>10991.243999999999</v>
      </c>
      <c r="G51" s="233">
        <v>359</v>
      </c>
      <c r="H51" s="353">
        <f t="shared" si="79"/>
        <v>5200.5710559999998</v>
      </c>
      <c r="I51" s="393">
        <v>0.1</v>
      </c>
      <c r="J51" s="362">
        <v>3900</v>
      </c>
      <c r="K51" s="361">
        <f t="shared" si="4"/>
        <v>4007.2237019103995</v>
      </c>
      <c r="L51" s="390"/>
      <c r="M51" s="390">
        <f t="shared" si="5"/>
        <v>4007.2237019103995</v>
      </c>
      <c r="N51" s="390">
        <f t="shared" si="49"/>
        <v>4263.0039382025534</v>
      </c>
      <c r="O51" s="372">
        <f t="shared" si="50"/>
        <v>36.693168969599995</v>
      </c>
      <c r="P51" s="373">
        <f t="shared" si="80"/>
        <v>5200.5710559999998</v>
      </c>
      <c r="Q51" s="378">
        <f t="shared" si="94"/>
        <v>780.08565839999994</v>
      </c>
      <c r="R51" s="373">
        <f t="shared" si="52"/>
        <v>4383.7922286303992</v>
      </c>
      <c r="S51" s="373">
        <f t="shared" si="81"/>
        <v>10401.142112</v>
      </c>
      <c r="T51" s="374">
        <f t="shared" si="95"/>
        <v>800.14276399999994</v>
      </c>
      <c r="U51" s="373">
        <f t="shared" si="53"/>
        <v>4363.7351230303993</v>
      </c>
      <c r="V51" s="373">
        <f t="shared" si="54"/>
        <v>15601.713167999998</v>
      </c>
      <c r="W51" s="374">
        <f>H51*0.2</f>
        <v>1040.1142112</v>
      </c>
      <c r="X51" s="373">
        <f t="shared" si="56"/>
        <v>4123.7636758303997</v>
      </c>
      <c r="Y51" s="373">
        <f t="shared" si="57"/>
        <v>20802.284223999999</v>
      </c>
      <c r="Z51" s="374">
        <f>H51*0.2</f>
        <v>1040.1142112</v>
      </c>
      <c r="AA51" s="373">
        <f t="shared" si="59"/>
        <v>4123.7636758303997</v>
      </c>
      <c r="AB51" s="373">
        <f t="shared" si="60"/>
        <v>26002.85528</v>
      </c>
      <c r="AC51" s="376">
        <f>(AB51-25000)*0.27+(25000-Y51)*0.2</f>
        <v>1110.3140808000003</v>
      </c>
      <c r="AD51" s="373">
        <f t="shared" si="62"/>
        <v>4053.5638062303992</v>
      </c>
      <c r="AE51" s="373">
        <f t="shared" si="63"/>
        <v>31203.426335999997</v>
      </c>
      <c r="AF51" s="376">
        <f t="shared" si="92"/>
        <v>1404.15418512</v>
      </c>
      <c r="AG51" s="373">
        <f t="shared" si="64"/>
        <v>3759.7237019103995</v>
      </c>
      <c r="AH51" s="373">
        <f t="shared" si="65"/>
        <v>36403.997391999997</v>
      </c>
      <c r="AI51" s="376">
        <f t="shared" si="93"/>
        <v>1404.15418512</v>
      </c>
      <c r="AJ51" s="373">
        <f t="shared" si="66"/>
        <v>3759.7237019103995</v>
      </c>
      <c r="AK51" s="373">
        <f t="shared" si="67"/>
        <v>41604.568447999998</v>
      </c>
      <c r="AL51" s="376">
        <f t="shared" si="96"/>
        <v>1404.15418512</v>
      </c>
      <c r="AM51" s="373">
        <f t="shared" si="68"/>
        <v>3759.7237019103995</v>
      </c>
      <c r="AN51" s="373">
        <f t="shared" si="69"/>
        <v>46805.139503999999</v>
      </c>
      <c r="AO51" s="376">
        <f t="shared" si="97"/>
        <v>1404.15418512</v>
      </c>
      <c r="AP51" s="373">
        <f t="shared" si="70"/>
        <v>3759.7237019103995</v>
      </c>
      <c r="AQ51" s="373">
        <f t="shared" si="71"/>
        <v>52005.71056</v>
      </c>
      <c r="AR51" s="376">
        <f>H51*0.27</f>
        <v>1404.15418512</v>
      </c>
      <c r="AS51" s="373">
        <f t="shared" si="72"/>
        <v>3759.7237019103995</v>
      </c>
      <c r="AT51" s="373">
        <f t="shared" si="73"/>
        <v>57206.281616</v>
      </c>
      <c r="AU51" s="376">
        <f>H51*0.27</f>
        <v>1404.15418512</v>
      </c>
      <c r="AV51" s="373">
        <f t="shared" si="75"/>
        <v>3759.7237019103995</v>
      </c>
      <c r="AW51" s="373">
        <f t="shared" si="76"/>
        <v>62406.852671999994</v>
      </c>
      <c r="AX51" s="376">
        <f t="shared" si="98"/>
        <v>1404.15418512</v>
      </c>
      <c r="AY51" s="373">
        <f t="shared" si="78"/>
        <v>3759.7237019103995</v>
      </c>
      <c r="AZ51" s="292"/>
      <c r="BB51" s="358"/>
    </row>
    <row r="52" spans="1:54" ht="42" x14ac:dyDescent="0.45">
      <c r="A52" s="719"/>
      <c r="B52" s="392" t="s">
        <v>199</v>
      </c>
      <c r="C52" s="290">
        <v>125</v>
      </c>
      <c r="D52" s="238">
        <v>3331</v>
      </c>
      <c r="E52" s="238">
        <v>4163</v>
      </c>
      <c r="F52" s="238">
        <f t="shared" si="48"/>
        <v>7494</v>
      </c>
      <c r="G52" s="233">
        <v>359</v>
      </c>
      <c r="H52" s="353">
        <f t="shared" si="79"/>
        <v>4928.6099999999997</v>
      </c>
      <c r="I52" s="391">
        <v>0.5</v>
      </c>
      <c r="J52" s="362">
        <v>3800</v>
      </c>
      <c r="K52" s="361">
        <f t="shared" si="4"/>
        <v>3810.4870739999988</v>
      </c>
      <c r="L52" s="390"/>
      <c r="M52" s="390">
        <f t="shared" si="5"/>
        <v>3810.4870739999988</v>
      </c>
      <c r="N52" s="390">
        <f t="shared" si="49"/>
        <v>4053.7096531914881</v>
      </c>
      <c r="O52" s="372">
        <f t="shared" si="50"/>
        <v>34.898226000000001</v>
      </c>
      <c r="P52" s="373">
        <f t="shared" si="80"/>
        <v>4928.6099999999997</v>
      </c>
      <c r="Q52" s="378">
        <f t="shared" si="94"/>
        <v>739.29149999999993</v>
      </c>
      <c r="R52" s="373">
        <f t="shared" si="52"/>
        <v>4154.4202739999992</v>
      </c>
      <c r="S52" s="373">
        <f t="shared" si="81"/>
        <v>9857.2199999999993</v>
      </c>
      <c r="T52" s="378">
        <f>H52*0.15</f>
        <v>739.29149999999993</v>
      </c>
      <c r="U52" s="373">
        <f t="shared" si="53"/>
        <v>4154.4202739999992</v>
      </c>
      <c r="V52" s="373">
        <f t="shared" si="54"/>
        <v>14785.829999999998</v>
      </c>
      <c r="W52" s="374">
        <f>(V52-10000)*0.2+(10000-S52)*0.15</f>
        <v>978.58299999999986</v>
      </c>
      <c r="X52" s="373">
        <f t="shared" si="56"/>
        <v>3915.1287739999998</v>
      </c>
      <c r="Y52" s="373">
        <f t="shared" si="57"/>
        <v>19714.439999999999</v>
      </c>
      <c r="Z52" s="374">
        <f>H52*0.2</f>
        <v>985.72199999999998</v>
      </c>
      <c r="AA52" s="373">
        <f t="shared" si="59"/>
        <v>3907.9897739999997</v>
      </c>
      <c r="AB52" s="373">
        <f t="shared" si="60"/>
        <v>24643.05</v>
      </c>
      <c r="AC52" s="374">
        <f>H52*0.2</f>
        <v>985.72199999999998</v>
      </c>
      <c r="AD52" s="373">
        <f t="shared" si="62"/>
        <v>3907.9897739999997</v>
      </c>
      <c r="AE52" s="373">
        <f t="shared" si="63"/>
        <v>29571.659999999996</v>
      </c>
      <c r="AF52" s="376">
        <f>(AE52-25000)*0.27+(25000-AB52)*0.2</f>
        <v>1305.7381999999991</v>
      </c>
      <c r="AG52" s="373">
        <f t="shared" si="64"/>
        <v>3587.9735740000006</v>
      </c>
      <c r="AH52" s="373">
        <f t="shared" si="65"/>
        <v>34500.269999999997</v>
      </c>
      <c r="AI52" s="376">
        <f t="shared" si="93"/>
        <v>1330.7247</v>
      </c>
      <c r="AJ52" s="373">
        <f t="shared" si="66"/>
        <v>3562.9870739999997</v>
      </c>
      <c r="AK52" s="373">
        <f t="shared" si="67"/>
        <v>39428.879999999997</v>
      </c>
      <c r="AL52" s="376">
        <f t="shared" si="96"/>
        <v>1330.7247</v>
      </c>
      <c r="AM52" s="373">
        <f t="shared" si="68"/>
        <v>3562.9870739999997</v>
      </c>
      <c r="AN52" s="373">
        <f t="shared" si="69"/>
        <v>44357.49</v>
      </c>
      <c r="AO52" s="376">
        <f t="shared" si="97"/>
        <v>1330.7247</v>
      </c>
      <c r="AP52" s="373">
        <f t="shared" si="70"/>
        <v>3562.9870739999997</v>
      </c>
      <c r="AQ52" s="373">
        <f t="shared" si="71"/>
        <v>49286.1</v>
      </c>
      <c r="AR52" s="376">
        <f>H52*0.27</f>
        <v>1330.7247</v>
      </c>
      <c r="AS52" s="373">
        <f t="shared" si="72"/>
        <v>3562.9870739999997</v>
      </c>
      <c r="AT52" s="373">
        <f t="shared" si="73"/>
        <v>54214.71</v>
      </c>
      <c r="AU52" s="376">
        <f>H52*0.27</f>
        <v>1330.7247</v>
      </c>
      <c r="AV52" s="373">
        <f t="shared" si="75"/>
        <v>3562.9870739999997</v>
      </c>
      <c r="AW52" s="373">
        <f t="shared" si="76"/>
        <v>59143.319999999992</v>
      </c>
      <c r="AX52" s="376">
        <f t="shared" si="98"/>
        <v>1330.7247</v>
      </c>
      <c r="AY52" s="373">
        <f t="shared" si="78"/>
        <v>3562.9870739999997</v>
      </c>
      <c r="AZ52" s="292"/>
      <c r="BB52" s="358"/>
    </row>
    <row r="53" spans="1:54" ht="33.75" customHeight="1" x14ac:dyDescent="0.45">
      <c r="A53" s="752" t="s">
        <v>173</v>
      </c>
      <c r="B53" s="753"/>
      <c r="C53" s="241">
        <v>125</v>
      </c>
      <c r="D53" s="234">
        <v>3330.68</v>
      </c>
      <c r="E53" s="234">
        <v>4163.3499999999995</v>
      </c>
      <c r="F53" s="234">
        <f t="shared" si="48"/>
        <v>7494.0299999999988</v>
      </c>
      <c r="G53" s="233">
        <v>278</v>
      </c>
      <c r="H53" s="353">
        <f t="shared" si="79"/>
        <v>3874.5252899999996</v>
      </c>
      <c r="I53" s="464">
        <v>0.21</v>
      </c>
      <c r="J53" s="362">
        <v>3023</v>
      </c>
      <c r="K53" s="361">
        <f t="shared" si="4"/>
        <v>3048.4967947859991</v>
      </c>
      <c r="L53" s="390"/>
      <c r="M53" s="390">
        <f t="shared" si="5"/>
        <v>3048.4967947859991</v>
      </c>
      <c r="N53" s="390">
        <f t="shared" si="49"/>
        <v>3243.0816965808503</v>
      </c>
      <c r="O53" s="372">
        <f t="shared" si="50"/>
        <v>27.406666913999999</v>
      </c>
      <c r="P53" s="373">
        <f t="shared" si="80"/>
        <v>3874.5252899999996</v>
      </c>
      <c r="Q53" s="378">
        <f t="shared" si="94"/>
        <v>581.17879349999987</v>
      </c>
      <c r="R53" s="373">
        <f t="shared" si="52"/>
        <v>3265.9398295859996</v>
      </c>
      <c r="S53" s="373">
        <f t="shared" si="81"/>
        <v>7749.0505799999992</v>
      </c>
      <c r="T53" s="378">
        <f>H53*0.15</f>
        <v>581.17879349999987</v>
      </c>
      <c r="U53" s="373">
        <f t="shared" si="53"/>
        <v>3265.9398295859996</v>
      </c>
      <c r="V53" s="373">
        <f t="shared" si="54"/>
        <v>11623.575869999999</v>
      </c>
      <c r="W53" s="374">
        <f>(V53-10000)*0.2+(10000-S53)*0.15</f>
        <v>662.35758699999985</v>
      </c>
      <c r="X53" s="373">
        <f t="shared" si="56"/>
        <v>3184.7610360859994</v>
      </c>
      <c r="Y53" s="373">
        <f t="shared" si="57"/>
        <v>15498.101159999998</v>
      </c>
      <c r="Z53" s="374">
        <f t="shared" ref="Z53:Z54" si="99">H53*0.2</f>
        <v>774.90505799999994</v>
      </c>
      <c r="AA53" s="373">
        <f t="shared" si="59"/>
        <v>3072.2135650859996</v>
      </c>
      <c r="AB53" s="373">
        <f t="shared" si="60"/>
        <v>19372.626449999996</v>
      </c>
      <c r="AC53" s="374">
        <f>H53*0.2</f>
        <v>774.90505799999994</v>
      </c>
      <c r="AD53" s="373">
        <f t="shared" si="62"/>
        <v>3072.2135650859996</v>
      </c>
      <c r="AE53" s="373">
        <f t="shared" si="63"/>
        <v>23247.151739999998</v>
      </c>
      <c r="AF53" s="374">
        <f>H53*0.2</f>
        <v>774.90505799999994</v>
      </c>
      <c r="AG53" s="373">
        <f t="shared" si="64"/>
        <v>3072.2135650859996</v>
      </c>
      <c r="AH53" s="373">
        <f t="shared" si="65"/>
        <v>27121.677029999999</v>
      </c>
      <c r="AI53" s="376">
        <f>(AH53-25000)*0.27+(25000-AE53)*0.2</f>
        <v>923.42245010000033</v>
      </c>
      <c r="AJ53" s="373">
        <f t="shared" si="66"/>
        <v>2923.6961729859991</v>
      </c>
      <c r="AK53" s="373">
        <f t="shared" si="67"/>
        <v>30996.202319999997</v>
      </c>
      <c r="AL53" s="376">
        <f t="shared" si="96"/>
        <v>1046.1218283000001</v>
      </c>
      <c r="AM53" s="373">
        <f t="shared" si="68"/>
        <v>2800.9967947859996</v>
      </c>
      <c r="AN53" s="373">
        <f t="shared" si="69"/>
        <v>34870.727609999994</v>
      </c>
      <c r="AO53" s="376">
        <f t="shared" si="97"/>
        <v>1046.1218283000001</v>
      </c>
      <c r="AP53" s="373">
        <f t="shared" si="70"/>
        <v>2800.9967947859996</v>
      </c>
      <c r="AQ53" s="373">
        <f t="shared" si="71"/>
        <v>38745.252899999992</v>
      </c>
      <c r="AR53" s="376">
        <f t="shared" ref="AR53:AR54" si="100">H53*0.27</f>
        <v>1046.1218283000001</v>
      </c>
      <c r="AS53" s="373">
        <f t="shared" si="72"/>
        <v>2800.9967947859996</v>
      </c>
      <c r="AT53" s="373">
        <f t="shared" si="73"/>
        <v>42619.778189999997</v>
      </c>
      <c r="AU53" s="376">
        <f t="shared" ref="AU53:AU54" si="101">H53*0.27</f>
        <v>1046.1218283000001</v>
      </c>
      <c r="AV53" s="373">
        <f t="shared" si="75"/>
        <v>2800.9967947859996</v>
      </c>
      <c r="AW53" s="373">
        <f t="shared" si="76"/>
        <v>46494.303479999995</v>
      </c>
      <c r="AX53" s="376">
        <f t="shared" si="98"/>
        <v>1046.1218283000001</v>
      </c>
      <c r="AY53" s="373">
        <f t="shared" si="78"/>
        <v>2800.9967947859996</v>
      </c>
      <c r="AZ53" s="292"/>
      <c r="BB53" s="358"/>
    </row>
    <row r="54" spans="1:54" ht="29.25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48"/>
        <v>4996.01</v>
      </c>
      <c r="G54" s="233">
        <v>278</v>
      </c>
      <c r="H54" s="353">
        <f t="shared" si="79"/>
        <v>3699.3255999999997</v>
      </c>
      <c r="I54" s="363">
        <v>0.63</v>
      </c>
      <c r="J54" s="362">
        <v>2822</v>
      </c>
      <c r="K54" s="361">
        <f t="shared" si="4"/>
        <v>2921.7573390399998</v>
      </c>
      <c r="L54" s="390"/>
      <c r="M54" s="390">
        <f t="shared" si="5"/>
        <v>2921.7573390399998</v>
      </c>
      <c r="N54" s="390">
        <f t="shared" si="49"/>
        <v>3108.2524883404253</v>
      </c>
      <c r="O54" s="372">
        <f t="shared" si="50"/>
        <v>26.250348959999997</v>
      </c>
      <c r="P54" s="373">
        <f t="shared" si="80"/>
        <v>3699.3255999999997</v>
      </c>
      <c r="Q54" s="378">
        <f t="shared" si="94"/>
        <v>554.89883999999995</v>
      </c>
      <c r="R54" s="373">
        <f t="shared" si="52"/>
        <v>3118.1764110399999</v>
      </c>
      <c r="S54" s="373">
        <f t="shared" si="81"/>
        <v>7398.6511999999993</v>
      </c>
      <c r="T54" s="378">
        <f>H54*0.15</f>
        <v>554.89883999999995</v>
      </c>
      <c r="U54" s="373">
        <f t="shared" si="53"/>
        <v>3118.1764110399999</v>
      </c>
      <c r="V54" s="373">
        <f t="shared" si="54"/>
        <v>11097.976799999999</v>
      </c>
      <c r="W54" s="374">
        <f>(V54-10000)*0.2+(10000-S54)*0.15</f>
        <v>609.79767999999979</v>
      </c>
      <c r="X54" s="373">
        <f t="shared" si="56"/>
        <v>3063.2775710400001</v>
      </c>
      <c r="Y54" s="373">
        <f t="shared" si="57"/>
        <v>14797.302399999999</v>
      </c>
      <c r="Z54" s="374">
        <f t="shared" si="99"/>
        <v>739.86511999999993</v>
      </c>
      <c r="AA54" s="373">
        <f t="shared" si="59"/>
        <v>2933.2101310399999</v>
      </c>
      <c r="AB54" s="373">
        <f t="shared" si="60"/>
        <v>18496.627999999997</v>
      </c>
      <c r="AC54" s="374">
        <f>H54*0.2</f>
        <v>739.86511999999993</v>
      </c>
      <c r="AD54" s="373">
        <f t="shared" si="62"/>
        <v>2933.2101310399999</v>
      </c>
      <c r="AE54" s="373">
        <f t="shared" si="63"/>
        <v>22195.953599999997</v>
      </c>
      <c r="AF54" s="374">
        <f>H54*0.2</f>
        <v>739.86511999999993</v>
      </c>
      <c r="AG54" s="373">
        <f t="shared" si="64"/>
        <v>2933.2101310399999</v>
      </c>
      <c r="AH54" s="373">
        <f t="shared" si="65"/>
        <v>25895.279199999997</v>
      </c>
      <c r="AI54" s="376">
        <f>(AH54-25000)*0.27+(25000-AE54)*0.2</f>
        <v>802.53466399999991</v>
      </c>
      <c r="AJ54" s="373">
        <f t="shared" si="66"/>
        <v>2870.54058704</v>
      </c>
      <c r="AK54" s="373">
        <f t="shared" si="67"/>
        <v>29594.604799999997</v>
      </c>
      <c r="AL54" s="376">
        <f t="shared" si="96"/>
        <v>998.81791199999998</v>
      </c>
      <c r="AM54" s="373">
        <f t="shared" si="68"/>
        <v>2674.2573390399998</v>
      </c>
      <c r="AN54" s="373">
        <f t="shared" si="69"/>
        <v>33293.930399999997</v>
      </c>
      <c r="AO54" s="376">
        <f t="shared" si="97"/>
        <v>998.81791199999998</v>
      </c>
      <c r="AP54" s="373">
        <f t="shared" si="70"/>
        <v>2674.2573390399998</v>
      </c>
      <c r="AQ54" s="373">
        <f t="shared" si="71"/>
        <v>36993.255999999994</v>
      </c>
      <c r="AR54" s="376">
        <f t="shared" si="100"/>
        <v>998.81791199999998</v>
      </c>
      <c r="AS54" s="373">
        <f t="shared" si="72"/>
        <v>2674.2573390399998</v>
      </c>
      <c r="AT54" s="373">
        <f t="shared" si="73"/>
        <v>40692.581599999998</v>
      </c>
      <c r="AU54" s="376">
        <f t="shared" si="101"/>
        <v>998.81791199999998</v>
      </c>
      <c r="AV54" s="373">
        <f t="shared" si="75"/>
        <v>2674.2573390399998</v>
      </c>
      <c r="AW54" s="373">
        <f t="shared" si="76"/>
        <v>44391.907199999994</v>
      </c>
      <c r="AX54" s="376">
        <f t="shared" si="98"/>
        <v>998.81791199999998</v>
      </c>
      <c r="AY54" s="373">
        <f t="shared" si="78"/>
        <v>2674.2573390399998</v>
      </c>
      <c r="AZ54" s="292"/>
      <c r="BB54" s="358"/>
    </row>
    <row r="55" spans="1:54" x14ac:dyDescent="0.35">
      <c r="AO55" s="379"/>
    </row>
  </sheetData>
  <mergeCells count="11">
    <mergeCell ref="A30:A38"/>
    <mergeCell ref="A39:A46"/>
    <mergeCell ref="A47:A52"/>
    <mergeCell ref="A53:B53"/>
    <mergeCell ref="A54:B54"/>
    <mergeCell ref="A28:B28"/>
    <mergeCell ref="A1:F1"/>
    <mergeCell ref="A4:B4"/>
    <mergeCell ref="A6:A14"/>
    <mergeCell ref="A15:A23"/>
    <mergeCell ref="A24:A2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5"/>
  <sheetViews>
    <sheetView topLeftCell="A4" workbookViewId="0">
      <selection activeCell="I7" sqref="I7"/>
    </sheetView>
  </sheetViews>
  <sheetFormatPr defaultRowHeight="21" x14ac:dyDescent="0.35"/>
  <cols>
    <col min="1" max="1" width="6.7109375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3.5703125" customWidth="1"/>
    <col min="10" max="10" width="24.42578125" customWidth="1"/>
    <col min="11" max="11" width="22.85546875" customWidth="1"/>
    <col min="12" max="14" width="22.85546875" hidden="1" customWidth="1"/>
    <col min="15" max="15" width="22.85546875" customWidth="1"/>
    <col min="16" max="16" width="26" customWidth="1"/>
    <col min="17" max="17" width="13.28515625" style="130" customWidth="1"/>
    <col min="18" max="18" width="16.140625" style="130" bestFit="1" customWidth="1"/>
    <col min="19" max="19" width="14.140625" style="130" bestFit="1" customWidth="1"/>
    <col min="20" max="21" width="16.140625" style="130" bestFit="1" customWidth="1"/>
    <col min="22" max="22" width="14.140625" style="130" bestFit="1" customWidth="1"/>
    <col min="23" max="24" width="16.140625" style="130" bestFit="1" customWidth="1"/>
    <col min="25" max="25" width="14.140625" style="130" bestFit="1" customWidth="1"/>
    <col min="26" max="27" width="16.140625" style="130" bestFit="1" customWidth="1"/>
    <col min="28" max="28" width="14.140625" style="130" bestFit="1" customWidth="1"/>
    <col min="29" max="30" width="16.140625" style="130" bestFit="1" customWidth="1"/>
    <col min="31" max="31" width="14.140625" style="130" bestFit="1" customWidth="1"/>
    <col min="32" max="32" width="16.140625" style="130" bestFit="1" customWidth="1"/>
    <col min="33" max="33" width="17.7109375" style="130" bestFit="1" customWidth="1"/>
    <col min="34" max="34" width="14.140625" style="130" bestFit="1" customWidth="1"/>
    <col min="35" max="35" width="16.140625" style="130" bestFit="1" customWidth="1"/>
    <col min="36" max="36" width="17.7109375" style="130" bestFit="1" customWidth="1"/>
    <col min="37" max="37" width="14.140625" style="130" bestFit="1" customWidth="1"/>
    <col min="38" max="38" width="16.140625" style="130" bestFit="1" customWidth="1"/>
    <col min="39" max="39" width="17.7109375" style="130" bestFit="1" customWidth="1"/>
    <col min="40" max="40" width="18.7109375" style="130" customWidth="1"/>
    <col min="41" max="41" width="16.140625" style="130" bestFit="1" customWidth="1"/>
    <col min="42" max="42" width="17.7109375" style="130" bestFit="1" customWidth="1"/>
    <col min="43" max="43" width="14.140625" style="130" bestFit="1" customWidth="1"/>
    <col min="44" max="44" width="16.140625" style="130" bestFit="1" customWidth="1"/>
    <col min="45" max="45" width="17.7109375" style="130" bestFit="1" customWidth="1"/>
    <col min="46" max="46" width="14.140625" style="130" bestFit="1" customWidth="1"/>
    <col min="47" max="47" width="16.140625" style="130" bestFit="1" customWidth="1"/>
    <col min="48" max="48" width="17.7109375" style="130" bestFit="1" customWidth="1"/>
    <col min="49" max="49" width="14.140625" style="130" bestFit="1" customWidth="1"/>
    <col min="50" max="50" width="16.140625" style="130" bestFit="1" customWidth="1"/>
    <col min="51" max="51" width="17.7109375" style="130" bestFit="1" customWidth="1"/>
    <col min="52" max="52" width="14.140625" style="130" bestFit="1" customWidth="1"/>
    <col min="53" max="53" width="16.140625" style="130" bestFit="1" customWidth="1"/>
    <col min="56" max="56" width="17.85546875" bestFit="1" customWidth="1"/>
  </cols>
  <sheetData>
    <row r="1" spans="1:56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6" ht="24" hidden="1" thickBot="1" x14ac:dyDescent="0.4">
      <c r="A2" s="192"/>
      <c r="B2" s="2"/>
      <c r="C2" s="2"/>
      <c r="D2" s="2"/>
      <c r="E2" s="2"/>
      <c r="F2" s="2"/>
      <c r="K2" s="385"/>
      <c r="L2" s="385"/>
      <c r="M2" s="385"/>
      <c r="N2" s="385"/>
      <c r="O2" s="385"/>
      <c r="P2" s="385"/>
    </row>
    <row r="3" spans="1:56" ht="27" hidden="1" thickBot="1" x14ac:dyDescent="0.4">
      <c r="A3" s="236" t="s">
        <v>1</v>
      </c>
      <c r="B3" s="4"/>
      <c r="C3" s="4"/>
      <c r="D3" s="4"/>
      <c r="E3" s="4"/>
      <c r="F3" s="4"/>
    </row>
    <row r="4" spans="1:56" ht="65.25" customHeight="1" x14ac:dyDescent="0.25">
      <c r="A4" s="726" t="s">
        <v>2</v>
      </c>
      <c r="B4" s="726"/>
      <c r="C4" s="462" t="s">
        <v>3</v>
      </c>
      <c r="D4" s="462" t="s">
        <v>229</v>
      </c>
      <c r="E4" s="462" t="s">
        <v>253</v>
      </c>
      <c r="F4" s="462" t="s">
        <v>231</v>
      </c>
      <c r="G4" s="395" t="s">
        <v>244</v>
      </c>
      <c r="H4" s="395" t="s">
        <v>249</v>
      </c>
      <c r="I4" s="352" t="s">
        <v>37</v>
      </c>
      <c r="J4" s="364" t="s">
        <v>279</v>
      </c>
      <c r="K4" s="364" t="s">
        <v>280</v>
      </c>
      <c r="L4" s="389"/>
      <c r="M4" s="389"/>
      <c r="N4" s="389"/>
      <c r="O4" s="389"/>
      <c r="P4" s="389" t="s">
        <v>283</v>
      </c>
      <c r="Q4" s="365" t="s">
        <v>245</v>
      </c>
      <c r="R4" s="365">
        <v>1</v>
      </c>
      <c r="S4" s="365" t="s">
        <v>255</v>
      </c>
      <c r="T4" s="365" t="s">
        <v>267</v>
      </c>
      <c r="U4" s="365">
        <v>2</v>
      </c>
      <c r="V4" s="365" t="s">
        <v>256</v>
      </c>
      <c r="W4" s="365" t="s">
        <v>268</v>
      </c>
      <c r="X4" s="365">
        <v>3</v>
      </c>
      <c r="Y4" s="365" t="s">
        <v>257</v>
      </c>
      <c r="Z4" s="365" t="s">
        <v>278</v>
      </c>
      <c r="AA4" s="365">
        <v>4</v>
      </c>
      <c r="AB4" s="365" t="s">
        <v>258</v>
      </c>
      <c r="AC4" s="365" t="s">
        <v>277</v>
      </c>
      <c r="AD4" s="365">
        <v>5</v>
      </c>
      <c r="AE4" s="365" t="s">
        <v>259</v>
      </c>
      <c r="AF4" s="365" t="s">
        <v>276</v>
      </c>
      <c r="AG4" s="365">
        <v>6</v>
      </c>
      <c r="AH4" s="365" t="s">
        <v>260</v>
      </c>
      <c r="AI4" s="365" t="s">
        <v>275</v>
      </c>
      <c r="AJ4" s="365">
        <v>7</v>
      </c>
      <c r="AK4" s="365" t="s">
        <v>261</v>
      </c>
      <c r="AL4" s="365" t="s">
        <v>274</v>
      </c>
      <c r="AM4" s="365">
        <v>8</v>
      </c>
      <c r="AN4" s="365" t="s">
        <v>262</v>
      </c>
      <c r="AO4" s="365" t="s">
        <v>273</v>
      </c>
      <c r="AP4" s="365">
        <v>9</v>
      </c>
      <c r="AQ4" s="365" t="s">
        <v>263</v>
      </c>
      <c r="AR4" s="365" t="s">
        <v>272</v>
      </c>
      <c r="AS4" s="365">
        <v>10</v>
      </c>
      <c r="AT4" s="365" t="s">
        <v>264</v>
      </c>
      <c r="AU4" s="365" t="s">
        <v>271</v>
      </c>
      <c r="AV4" s="365">
        <v>11</v>
      </c>
      <c r="AW4" s="365" t="s">
        <v>265</v>
      </c>
      <c r="AX4" s="365" t="s">
        <v>270</v>
      </c>
      <c r="AY4" s="365">
        <v>12</v>
      </c>
      <c r="AZ4" s="366" t="s">
        <v>266</v>
      </c>
      <c r="BA4" s="366" t="s">
        <v>269</v>
      </c>
    </row>
    <row r="5" spans="1:56" s="233" customFormat="1" ht="33.75" customHeight="1" x14ac:dyDescent="0.45">
      <c r="A5" s="229"/>
      <c r="B5" s="346"/>
      <c r="C5" s="231"/>
      <c r="D5" s="231"/>
      <c r="E5" s="231"/>
      <c r="F5" s="231"/>
      <c r="H5" s="357">
        <v>0.93</v>
      </c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1"/>
    </row>
    <row r="6" spans="1:56" s="233" customFormat="1" ht="30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18227.499739999999</v>
      </c>
      <c r="I6" s="463">
        <v>0.7</v>
      </c>
      <c r="J6" s="362">
        <v>12600</v>
      </c>
      <c r="K6" s="361">
        <f>((T6+W6+Z6+AC6+AF6+AI6+AL6+AO6+AR6+AU6+AX6+BA6)/12)+60</f>
        <v>12559.370599382668</v>
      </c>
      <c r="L6" s="390">
        <v>12559.370599382668</v>
      </c>
      <c r="M6" s="390">
        <f>L6-K6</f>
        <v>0</v>
      </c>
      <c r="N6" s="390"/>
      <c r="O6" s="390">
        <f>J6-K6</f>
        <v>40.629400617332067</v>
      </c>
      <c r="P6" s="390">
        <f t="shared" ref="P6:P28" si="0">K6/0.93</f>
        <v>13504.699569228675</v>
      </c>
      <c r="Q6" s="372">
        <f t="shared" ref="Q6:Q28" si="1">(H6+G6)*0.0066</f>
        <v>122.67089828399999</v>
      </c>
      <c r="R6" s="373">
        <f t="shared" ref="R6:R28" si="2">$H6*R$4</f>
        <v>18227.499739999999</v>
      </c>
      <c r="S6" s="374">
        <f>(R6-10000)*0.2+10000*0.15</f>
        <v>3145.4999479999997</v>
      </c>
      <c r="T6" s="373">
        <f>H6-Q6-S6</f>
        <v>14959.328893716</v>
      </c>
      <c r="U6" s="373">
        <f>H6*2</f>
        <v>36454.999479999999</v>
      </c>
      <c r="V6" s="376">
        <f>(U6-25000)*0.27+4500-S6</f>
        <v>4447.3499116000003</v>
      </c>
      <c r="W6" s="373">
        <f t="shared" ref="W6:W28" si="3">H6-Q6-V6</f>
        <v>13657.478930116</v>
      </c>
      <c r="X6" s="373">
        <f t="shared" ref="X6:X28" si="4">H6*3</f>
        <v>54682.499219999998</v>
      </c>
      <c r="Y6" s="376">
        <f>R6*0.27</f>
        <v>4921.4249298000004</v>
      </c>
      <c r="Z6" s="373">
        <f t="shared" ref="Z6:Z28" si="5">H6-Q6-Y6</f>
        <v>13183.403911916001</v>
      </c>
      <c r="AA6" s="373">
        <f t="shared" ref="AA6:AA28" si="6">H6*4</f>
        <v>72909.998959999997</v>
      </c>
      <c r="AB6" s="376">
        <f t="shared" ref="AB6:AB22" si="7">H6*0.27</f>
        <v>4921.4249298000004</v>
      </c>
      <c r="AC6" s="373">
        <f>H6-Q6-AB6</f>
        <v>13183.403911916001</v>
      </c>
      <c r="AD6" s="373">
        <f>H6*5</f>
        <v>91137.498699999996</v>
      </c>
      <c r="AE6" s="377">
        <f>(AD6-88000)*0.35+(88000-AA6)*0.27</f>
        <v>5172.4248257999998</v>
      </c>
      <c r="AF6" s="373">
        <f>H6-Q6-AE6</f>
        <v>12932.404015915999</v>
      </c>
      <c r="AG6" s="373">
        <f>H6*6</f>
        <v>109364.99844</v>
      </c>
      <c r="AH6" s="377">
        <f>$H$6*0.35</f>
        <v>6379.6249089999992</v>
      </c>
      <c r="AI6" s="373">
        <f>H6-Q6-AH6</f>
        <v>11725.203932716002</v>
      </c>
      <c r="AJ6" s="373">
        <f>H6*7</f>
        <v>127592.49818</v>
      </c>
      <c r="AK6" s="377">
        <f>$H$6*0.35</f>
        <v>6379.6249089999992</v>
      </c>
      <c r="AL6" s="373">
        <f>H6-Q6-AK6</f>
        <v>11725.203932716002</v>
      </c>
      <c r="AM6" s="373">
        <f t="shared" ref="AM6:AM28" si="8">H6*8</f>
        <v>145819.99791999999</v>
      </c>
      <c r="AN6" s="377">
        <f>$H$6*0.35</f>
        <v>6379.6249089999992</v>
      </c>
      <c r="AO6" s="373">
        <f>H6-Q6-AN6</f>
        <v>11725.203932716002</v>
      </c>
      <c r="AP6" s="373">
        <f>H6*9</f>
        <v>164047.49765999999</v>
      </c>
      <c r="AQ6" s="377">
        <f>$H$6*0.35</f>
        <v>6379.6249089999992</v>
      </c>
      <c r="AR6" s="373">
        <f>H6-Q6-AQ6</f>
        <v>11725.203932716002</v>
      </c>
      <c r="AS6" s="373">
        <f>H6*10</f>
        <v>182274.99739999999</v>
      </c>
      <c r="AT6" s="377">
        <f>$H$6*0.35</f>
        <v>6379.6249089999992</v>
      </c>
      <c r="AU6" s="373">
        <f>H6-Q6-AT6</f>
        <v>11725.203932716002</v>
      </c>
      <c r="AV6" s="373">
        <f>H6*11</f>
        <v>200502.49713999999</v>
      </c>
      <c r="AW6" s="377">
        <f>$H$6*0.35</f>
        <v>6379.6249089999992</v>
      </c>
      <c r="AX6" s="373">
        <f t="shared" ref="AX6:AX28" si="9">H6-Q6-AW6</f>
        <v>11725.203932716002</v>
      </c>
      <c r="AY6" s="373">
        <f t="shared" ref="AY6:AY28" si="10">H6*12</f>
        <v>218729.99687999999</v>
      </c>
      <c r="AZ6" s="377">
        <f>$H$6*0.35</f>
        <v>6379.6249089999992</v>
      </c>
      <c r="BA6" s="373">
        <f>H6-Q6-AZ6</f>
        <v>11725.203932716002</v>
      </c>
      <c r="BB6" s="371"/>
      <c r="BD6" s="358"/>
    </row>
    <row r="7" spans="1:56" s="233" customFormat="1" ht="30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11924.021305999999</v>
      </c>
      <c r="I7" s="363">
        <v>0.33</v>
      </c>
      <c r="J7" s="362">
        <v>8500</v>
      </c>
      <c r="K7" s="361">
        <f t="shared" ref="K7:K54" si="11">((T7+W7+Z7+AC7+AF7+AI7+AL7+AO7+AR7+AU7+AX7+BA7)/12)+60</f>
        <v>8503.712574947067</v>
      </c>
      <c r="L7" s="390">
        <v>8503.712574947067</v>
      </c>
      <c r="M7" s="390">
        <f t="shared" ref="M7:M28" si="12">L7-K7</f>
        <v>0</v>
      </c>
      <c r="N7" s="390"/>
      <c r="O7" s="390">
        <f t="shared" ref="O7:O54" si="13">J7-K7</f>
        <v>-3.7125749470669689</v>
      </c>
      <c r="P7" s="390">
        <f t="shared" si="0"/>
        <v>9143.7769623086733</v>
      </c>
      <c r="Q7" s="372">
        <f t="shared" si="1"/>
        <v>81.067940619599995</v>
      </c>
      <c r="R7" s="373">
        <f t="shared" si="2"/>
        <v>11924.021305999999</v>
      </c>
      <c r="S7" s="374">
        <f>(R7-10000)*0.2+1500</f>
        <v>1884.8042611999997</v>
      </c>
      <c r="T7" s="373">
        <f t="shared" ref="T7:T28" si="14">H7-Q7-S7</f>
        <v>9958.1491041804002</v>
      </c>
      <c r="U7" s="373">
        <f t="shared" ref="U7:U28" si="15">H7*2</f>
        <v>23848.042611999997</v>
      </c>
      <c r="V7" s="374">
        <f>H7*0.2</f>
        <v>2384.8042611999999</v>
      </c>
      <c r="W7" s="373">
        <f t="shared" si="3"/>
        <v>9458.1491041804002</v>
      </c>
      <c r="X7" s="373">
        <f t="shared" si="4"/>
        <v>35772.063918</v>
      </c>
      <c r="Y7" s="376">
        <f>(25000-U7)*0.2+(X7-25000)*0.27</f>
        <v>3138.8487354600006</v>
      </c>
      <c r="Z7" s="373">
        <f t="shared" si="5"/>
        <v>8704.104629920399</v>
      </c>
      <c r="AA7" s="373">
        <f t="shared" si="6"/>
        <v>47696.085223999995</v>
      </c>
      <c r="AB7" s="376">
        <f t="shared" si="7"/>
        <v>3219.4857526199999</v>
      </c>
      <c r="AC7" s="373">
        <f t="shared" ref="AC7:AC28" si="16">H7-Q7-AB7</f>
        <v>8623.4676127603998</v>
      </c>
      <c r="AD7" s="373">
        <f t="shared" ref="AD7:AD28" si="17">H7*5</f>
        <v>59620.10652999999</v>
      </c>
      <c r="AE7" s="376">
        <f t="shared" ref="AE7:AE24" si="18">H7*0.27</f>
        <v>3219.4857526199999</v>
      </c>
      <c r="AF7" s="373">
        <f t="shared" ref="AF7:AF28" si="19">H7-Q7-AE7</f>
        <v>8623.4676127603998</v>
      </c>
      <c r="AG7" s="373">
        <f t="shared" ref="AG7:AG28" si="20">H7*6</f>
        <v>71544.127836</v>
      </c>
      <c r="AH7" s="376">
        <f t="shared" ref="AH7:AH14" si="21">H7*0.27</f>
        <v>3219.4857526199999</v>
      </c>
      <c r="AI7" s="373">
        <f t="shared" ref="AI7:AI28" si="22">H7-Q7-AH7</f>
        <v>8623.4676127603998</v>
      </c>
      <c r="AJ7" s="373">
        <f t="shared" ref="AJ7:AJ28" si="23">H7*7</f>
        <v>83468.149141999995</v>
      </c>
      <c r="AK7" s="376">
        <f>H7*0.27</f>
        <v>3219.4857526199999</v>
      </c>
      <c r="AL7" s="373">
        <f t="shared" ref="AL7:AL28" si="24">H7-Q7-AK7</f>
        <v>8623.4676127603998</v>
      </c>
      <c r="AM7" s="373">
        <f t="shared" si="8"/>
        <v>95392.17044799999</v>
      </c>
      <c r="AN7" s="377">
        <f>(AM7-88000)*0.35+(88000-AJ7)*0.27</f>
        <v>3810.8593884599977</v>
      </c>
      <c r="AO7" s="373">
        <f t="shared" ref="AO7:AO28" si="25">H7-Q7-AN7</f>
        <v>8032.0939769204015</v>
      </c>
      <c r="AP7" s="373">
        <f t="shared" ref="AP7:AP28" si="26">H7*9</f>
        <v>107316.19175399998</v>
      </c>
      <c r="AQ7" s="377">
        <f>H7*0.35</f>
        <v>4173.4074570999992</v>
      </c>
      <c r="AR7" s="373">
        <f t="shared" ref="AR7:AR28" si="27">H7-Q7-AQ7</f>
        <v>7669.5459082804</v>
      </c>
      <c r="AS7" s="373">
        <f t="shared" ref="AS7:AS28" si="28">H7*10</f>
        <v>119240.21305999998</v>
      </c>
      <c r="AT7" s="377">
        <f t="shared" ref="AT7:AT12" si="29">H7*0.35</f>
        <v>4173.4074570999992</v>
      </c>
      <c r="AU7" s="373">
        <f t="shared" ref="AU7:AU28" si="30">H7-Q7-AT7</f>
        <v>7669.5459082804</v>
      </c>
      <c r="AV7" s="373">
        <f t="shared" ref="AV7:AV28" si="31">H7*11</f>
        <v>131164.23436599999</v>
      </c>
      <c r="AW7" s="377">
        <f t="shared" ref="AW7:AW22" si="32">H7*0.35</f>
        <v>4173.4074570999992</v>
      </c>
      <c r="AX7" s="373">
        <f t="shared" si="9"/>
        <v>7669.5459082804</v>
      </c>
      <c r="AY7" s="373">
        <f t="shared" si="10"/>
        <v>143088.255672</v>
      </c>
      <c r="AZ7" s="377">
        <f t="shared" ref="AZ7" si="33">AW7</f>
        <v>4173.4074570999992</v>
      </c>
      <c r="BA7" s="373">
        <f t="shared" ref="BA7:BA28" si="34">H7-Q7-AZ7</f>
        <v>7669.5459082804</v>
      </c>
      <c r="BB7" s="371"/>
      <c r="BD7" s="358"/>
    </row>
    <row r="8" spans="1:56" s="233" customFormat="1" ht="30" customHeight="1" x14ac:dyDescent="0.45">
      <c r="A8" s="728"/>
      <c r="B8" s="461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35">D8+E8*$H$5*$I8-G8</f>
        <v>9709.2856400000001</v>
      </c>
      <c r="I8" s="363">
        <v>0.2</v>
      </c>
      <c r="J8" s="362">
        <v>7066</v>
      </c>
      <c r="K8" s="361">
        <f t="shared" si="11"/>
        <v>7078.7516474426657</v>
      </c>
      <c r="L8" s="390">
        <v>7078.7516474426657</v>
      </c>
      <c r="M8" s="390">
        <f t="shared" si="12"/>
        <v>0</v>
      </c>
      <c r="N8" s="390"/>
      <c r="O8" s="390">
        <f t="shared" si="13"/>
        <v>-12.751647442665671</v>
      </c>
      <c r="P8" s="390">
        <f t="shared" si="0"/>
        <v>7611.560911228672</v>
      </c>
      <c r="Q8" s="372">
        <f t="shared" si="1"/>
        <v>66.450685223999997</v>
      </c>
      <c r="R8" s="373">
        <f t="shared" si="2"/>
        <v>9709.2856400000001</v>
      </c>
      <c r="S8" s="378">
        <f>H8*0.15</f>
        <v>1456.392846</v>
      </c>
      <c r="T8" s="373">
        <f t="shared" si="14"/>
        <v>8186.4421087760011</v>
      </c>
      <c r="U8" s="373">
        <f t="shared" si="15"/>
        <v>19418.57128</v>
      </c>
      <c r="V8" s="374">
        <f t="shared" ref="V8" si="36">(U8-10000)*0.2+(10000-R8)*0.15</f>
        <v>1927.3214100000002</v>
      </c>
      <c r="W8" s="373">
        <f t="shared" si="3"/>
        <v>7715.5135447760003</v>
      </c>
      <c r="X8" s="373">
        <f t="shared" si="4"/>
        <v>29127.856919999998</v>
      </c>
      <c r="Y8" s="376">
        <f>(X8-25000)*0.27+(25000-U8)*0.2</f>
        <v>2230.8071123999998</v>
      </c>
      <c r="Z8" s="373">
        <f t="shared" si="5"/>
        <v>7412.027842376001</v>
      </c>
      <c r="AA8" s="373">
        <f t="shared" si="6"/>
        <v>38837.14256</v>
      </c>
      <c r="AB8" s="376">
        <f t="shared" si="7"/>
        <v>2621.5071228000002</v>
      </c>
      <c r="AC8" s="373">
        <f t="shared" si="16"/>
        <v>7021.3278319760011</v>
      </c>
      <c r="AD8" s="373">
        <f t="shared" si="17"/>
        <v>48546.428200000002</v>
      </c>
      <c r="AE8" s="376">
        <f t="shared" si="18"/>
        <v>2621.5071228000002</v>
      </c>
      <c r="AF8" s="373">
        <f t="shared" si="19"/>
        <v>7021.3278319760011</v>
      </c>
      <c r="AG8" s="373">
        <f t="shared" si="20"/>
        <v>58255.713839999997</v>
      </c>
      <c r="AH8" s="376">
        <f t="shared" si="21"/>
        <v>2621.5071228000002</v>
      </c>
      <c r="AI8" s="373">
        <f t="shared" si="22"/>
        <v>7021.3278319760011</v>
      </c>
      <c r="AJ8" s="373">
        <f t="shared" si="23"/>
        <v>67964.999479999999</v>
      </c>
      <c r="AK8" s="376">
        <f>H8*0.27</f>
        <v>2621.5071228000002</v>
      </c>
      <c r="AL8" s="373">
        <f t="shared" si="24"/>
        <v>7021.3278319760011</v>
      </c>
      <c r="AM8" s="373">
        <f t="shared" si="8"/>
        <v>77674.28512</v>
      </c>
      <c r="AN8" s="376">
        <f>H8*0.27</f>
        <v>2621.5071228000002</v>
      </c>
      <c r="AO8" s="373">
        <f t="shared" si="25"/>
        <v>7021.3278319760011</v>
      </c>
      <c r="AP8" s="373">
        <f t="shared" si="26"/>
        <v>87383.570760000002</v>
      </c>
      <c r="AQ8" s="377">
        <f>(AP8-88000)*0.35+(88000-AM8)*0.27</f>
        <v>2572.1927836000009</v>
      </c>
      <c r="AR8" s="373">
        <f t="shared" si="27"/>
        <v>7070.6421711759995</v>
      </c>
      <c r="AS8" s="373">
        <f t="shared" si="28"/>
        <v>97092.856400000004</v>
      </c>
      <c r="AT8" s="377">
        <f t="shared" si="29"/>
        <v>3398.2499739999998</v>
      </c>
      <c r="AU8" s="373">
        <f t="shared" si="30"/>
        <v>6244.5849807760005</v>
      </c>
      <c r="AV8" s="373">
        <f t="shared" si="31"/>
        <v>106802.14204000001</v>
      </c>
      <c r="AW8" s="377">
        <f t="shared" si="32"/>
        <v>3398.2499739999998</v>
      </c>
      <c r="AX8" s="373">
        <f t="shared" si="9"/>
        <v>6244.5849807760005</v>
      </c>
      <c r="AY8" s="373">
        <f t="shared" si="10"/>
        <v>116511.42767999999</v>
      </c>
      <c r="AZ8" s="377">
        <f t="shared" ref="AZ8:AZ22" si="37">H8*0.35</f>
        <v>3398.2499739999998</v>
      </c>
      <c r="BA8" s="373">
        <f t="shared" si="34"/>
        <v>6244.5849807760005</v>
      </c>
      <c r="BB8" s="371"/>
      <c r="BD8" s="358"/>
    </row>
    <row r="9" spans="1:56" s="233" customFormat="1" ht="30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38">D9+E9</f>
        <v>19983.72</v>
      </c>
      <c r="G9" s="233">
        <v>359</v>
      </c>
      <c r="H9" s="353">
        <f t="shared" si="35"/>
        <v>14107.781648</v>
      </c>
      <c r="I9" s="363">
        <v>0.63</v>
      </c>
      <c r="J9" s="362">
        <v>9900</v>
      </c>
      <c r="K9" s="361">
        <f t="shared" si="11"/>
        <v>9908.743978989869</v>
      </c>
      <c r="L9" s="390">
        <v>9908.743978989869</v>
      </c>
      <c r="M9" s="390">
        <f t="shared" si="12"/>
        <v>0</v>
      </c>
      <c r="N9" s="390"/>
      <c r="O9" s="390">
        <f t="shared" si="13"/>
        <v>-8.7439789898689924</v>
      </c>
      <c r="P9" s="390">
        <f t="shared" si="0"/>
        <v>10654.563418268675</v>
      </c>
      <c r="Q9" s="372">
        <f t="shared" si="1"/>
        <v>95.480758876799996</v>
      </c>
      <c r="R9" s="373">
        <f t="shared" si="2"/>
        <v>14107.781648</v>
      </c>
      <c r="S9" s="374">
        <f t="shared" ref="S9:S20" si="39">(R9-10000)*0.2+10000*0.15</f>
        <v>2321.5563296</v>
      </c>
      <c r="T9" s="373">
        <f t="shared" si="14"/>
        <v>11690.7445595232</v>
      </c>
      <c r="U9" s="373">
        <f t="shared" si="15"/>
        <v>28215.563296</v>
      </c>
      <c r="V9" s="376">
        <f>(U9-25000)*0.27+(25000-R9)*0.2</f>
        <v>3046.6457603200001</v>
      </c>
      <c r="W9" s="373">
        <f t="shared" si="3"/>
        <v>10965.655128803201</v>
      </c>
      <c r="X9" s="373">
        <f t="shared" si="4"/>
        <v>42323.344943999997</v>
      </c>
      <c r="Y9" s="376">
        <f t="shared" ref="Y9:Y10" si="40">R9*0.27</f>
        <v>3809.1010449600003</v>
      </c>
      <c r="Z9" s="373">
        <f t="shared" si="5"/>
        <v>10203.1998441632</v>
      </c>
      <c r="AA9" s="373">
        <f t="shared" si="6"/>
        <v>56431.126592000001</v>
      </c>
      <c r="AB9" s="376">
        <f t="shared" si="7"/>
        <v>3809.1010449600003</v>
      </c>
      <c r="AC9" s="373">
        <f t="shared" si="16"/>
        <v>10203.1998441632</v>
      </c>
      <c r="AD9" s="373">
        <f t="shared" si="17"/>
        <v>70538.908240000004</v>
      </c>
      <c r="AE9" s="376">
        <f t="shared" si="18"/>
        <v>3809.1010449600003</v>
      </c>
      <c r="AF9" s="373">
        <f t="shared" si="19"/>
        <v>10203.1998441632</v>
      </c>
      <c r="AG9" s="373">
        <f t="shared" si="20"/>
        <v>84646.689887999994</v>
      </c>
      <c r="AH9" s="376">
        <f t="shared" si="21"/>
        <v>3809.1010449600003</v>
      </c>
      <c r="AI9" s="373">
        <f t="shared" si="22"/>
        <v>10203.1998441632</v>
      </c>
      <c r="AJ9" s="373">
        <f t="shared" si="23"/>
        <v>98754.471535999997</v>
      </c>
      <c r="AK9" s="377">
        <f>(AJ9-88000)*0.35+(88000-AG9)*0.27</f>
        <v>4669.4587678400003</v>
      </c>
      <c r="AL9" s="373">
        <f t="shared" si="24"/>
        <v>9342.8421212832</v>
      </c>
      <c r="AM9" s="373">
        <f t="shared" si="8"/>
        <v>112862.253184</v>
      </c>
      <c r="AN9" s="377">
        <f>H9*0.35</f>
        <v>4937.7235768</v>
      </c>
      <c r="AO9" s="373">
        <f t="shared" si="25"/>
        <v>9074.5773123231993</v>
      </c>
      <c r="AP9" s="373">
        <f t="shared" si="26"/>
        <v>126970.034832</v>
      </c>
      <c r="AQ9" s="377">
        <f>H9*0.35</f>
        <v>4937.7235768</v>
      </c>
      <c r="AR9" s="373">
        <f t="shared" si="27"/>
        <v>9074.5773123231993</v>
      </c>
      <c r="AS9" s="373">
        <f t="shared" si="28"/>
        <v>141077.81648000001</v>
      </c>
      <c r="AT9" s="377">
        <f t="shared" si="29"/>
        <v>4937.7235768</v>
      </c>
      <c r="AU9" s="373">
        <f t="shared" si="30"/>
        <v>9074.5773123231993</v>
      </c>
      <c r="AV9" s="373">
        <f t="shared" si="31"/>
        <v>155185.59812800001</v>
      </c>
      <c r="AW9" s="377">
        <f t="shared" si="32"/>
        <v>4937.7235768</v>
      </c>
      <c r="AX9" s="373">
        <f t="shared" si="9"/>
        <v>9074.5773123231993</v>
      </c>
      <c r="AY9" s="373">
        <f t="shared" si="10"/>
        <v>169293.37977599999</v>
      </c>
      <c r="AZ9" s="377">
        <f t="shared" si="37"/>
        <v>4937.7235768</v>
      </c>
      <c r="BA9" s="373">
        <f t="shared" si="34"/>
        <v>9074.5773123231993</v>
      </c>
      <c r="BB9" s="371"/>
      <c r="BD9" s="358"/>
    </row>
    <row r="10" spans="1:56" s="233" customFormat="1" ht="30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38"/>
        <v>19983.72</v>
      </c>
      <c r="G10" s="233">
        <v>359</v>
      </c>
      <c r="H10" s="353">
        <f t="shared" si="35"/>
        <v>12497.0648</v>
      </c>
      <c r="I10" s="463">
        <v>0.5</v>
      </c>
      <c r="J10" s="362">
        <v>8900</v>
      </c>
      <c r="K10" s="361">
        <f t="shared" si="11"/>
        <v>8872.3745149866663</v>
      </c>
      <c r="L10" s="390">
        <v>8872.3745149866663</v>
      </c>
      <c r="M10" s="390">
        <f t="shared" si="12"/>
        <v>0</v>
      </c>
      <c r="N10" s="390"/>
      <c r="O10" s="390">
        <f t="shared" si="13"/>
        <v>27.625485013333673</v>
      </c>
      <c r="P10" s="390">
        <f t="shared" si="0"/>
        <v>9540.1876505232958</v>
      </c>
      <c r="Q10" s="372">
        <f t="shared" si="1"/>
        <v>84.850027679999997</v>
      </c>
      <c r="R10" s="373">
        <f t="shared" si="2"/>
        <v>12497.0648</v>
      </c>
      <c r="S10" s="374">
        <f t="shared" si="39"/>
        <v>1999.4129600000001</v>
      </c>
      <c r="T10" s="373">
        <f t="shared" si="14"/>
        <v>10412.80181232</v>
      </c>
      <c r="U10" s="373">
        <f t="shared" si="15"/>
        <v>24994.1296</v>
      </c>
      <c r="V10" s="376">
        <f>H10*0.2</f>
        <v>2499.4129600000001</v>
      </c>
      <c r="W10" s="373">
        <f t="shared" si="3"/>
        <v>9912.80181232</v>
      </c>
      <c r="X10" s="373">
        <f t="shared" si="4"/>
        <v>37491.1944</v>
      </c>
      <c r="Y10" s="376">
        <f t="shared" si="40"/>
        <v>3374.2074960000004</v>
      </c>
      <c r="Z10" s="373">
        <f t="shared" si="5"/>
        <v>9038.0072763199987</v>
      </c>
      <c r="AA10" s="373">
        <f t="shared" si="6"/>
        <v>49988.2592</v>
      </c>
      <c r="AB10" s="376">
        <f t="shared" si="7"/>
        <v>3374.2074960000004</v>
      </c>
      <c r="AC10" s="373">
        <f t="shared" si="16"/>
        <v>9038.0072763199987</v>
      </c>
      <c r="AD10" s="373">
        <f t="shared" si="17"/>
        <v>62485.324000000001</v>
      </c>
      <c r="AE10" s="376">
        <f t="shared" si="18"/>
        <v>3374.2074960000004</v>
      </c>
      <c r="AF10" s="373">
        <f t="shared" si="19"/>
        <v>9038.0072763199987</v>
      </c>
      <c r="AG10" s="373">
        <f t="shared" si="20"/>
        <v>74982.388800000001</v>
      </c>
      <c r="AH10" s="376">
        <f t="shared" si="21"/>
        <v>3374.2074960000004</v>
      </c>
      <c r="AI10" s="373">
        <f t="shared" si="22"/>
        <v>9038.0072763199987</v>
      </c>
      <c r="AJ10" s="373">
        <f t="shared" si="23"/>
        <v>87479.453600000008</v>
      </c>
      <c r="AK10" s="376">
        <f>H10*0.27</f>
        <v>3374.2074960000004</v>
      </c>
      <c r="AL10" s="373">
        <f t="shared" si="24"/>
        <v>9038.0072763199987</v>
      </c>
      <c r="AM10" s="373">
        <f t="shared" si="8"/>
        <v>99976.518400000001</v>
      </c>
      <c r="AN10" s="377">
        <f>(AM10-88000)*0.35+(88000-AJ10)*0.27</f>
        <v>4332.328967999998</v>
      </c>
      <c r="AO10" s="373">
        <f t="shared" si="25"/>
        <v>8079.8858043200016</v>
      </c>
      <c r="AP10" s="373">
        <f t="shared" si="26"/>
        <v>112473.58319999999</v>
      </c>
      <c r="AQ10" s="377">
        <f>H10*0.35</f>
        <v>4373.9726799999999</v>
      </c>
      <c r="AR10" s="373">
        <f t="shared" si="27"/>
        <v>8038.2420923199998</v>
      </c>
      <c r="AS10" s="373">
        <f t="shared" si="28"/>
        <v>124970.648</v>
      </c>
      <c r="AT10" s="377">
        <f t="shared" si="29"/>
        <v>4373.9726799999999</v>
      </c>
      <c r="AU10" s="373">
        <f t="shared" si="30"/>
        <v>8038.2420923199998</v>
      </c>
      <c r="AV10" s="373">
        <f t="shared" si="31"/>
        <v>137467.71280000001</v>
      </c>
      <c r="AW10" s="377">
        <f t="shared" si="32"/>
        <v>4373.9726799999999</v>
      </c>
      <c r="AX10" s="373">
        <f t="shared" si="9"/>
        <v>8038.2420923199998</v>
      </c>
      <c r="AY10" s="373">
        <f t="shared" si="10"/>
        <v>149964.7776</v>
      </c>
      <c r="AZ10" s="377">
        <f t="shared" si="37"/>
        <v>4373.9726799999999</v>
      </c>
      <c r="BA10" s="373">
        <f t="shared" si="34"/>
        <v>8038.2420923199998</v>
      </c>
      <c r="BB10" s="371"/>
      <c r="BD10" s="358"/>
    </row>
    <row r="11" spans="1:56" s="233" customFormat="1" ht="30" customHeight="1" x14ac:dyDescent="0.45">
      <c r="A11" s="728"/>
      <c r="B11" s="461" t="s">
        <v>234</v>
      </c>
      <c r="C11" s="231">
        <v>300</v>
      </c>
      <c r="D11" s="238">
        <v>6661</v>
      </c>
      <c r="E11" s="234">
        <v>9992.0399999999991</v>
      </c>
      <c r="F11" s="234">
        <f t="shared" si="38"/>
        <v>16653.04</v>
      </c>
      <c r="G11" s="233">
        <v>359</v>
      </c>
      <c r="H11" s="353">
        <f t="shared" si="35"/>
        <v>10204.890824</v>
      </c>
      <c r="I11" s="463">
        <v>0.42</v>
      </c>
      <c r="J11" s="362">
        <v>7400</v>
      </c>
      <c r="K11" s="361">
        <f t="shared" si="11"/>
        <v>7397.624022828265</v>
      </c>
      <c r="L11" s="390">
        <v>7397.624022828265</v>
      </c>
      <c r="M11" s="390">
        <f t="shared" si="12"/>
        <v>0</v>
      </c>
      <c r="N11" s="390"/>
      <c r="O11" s="390">
        <f t="shared" si="13"/>
        <v>2.3759771717350304</v>
      </c>
      <c r="P11" s="390">
        <f t="shared" si="0"/>
        <v>7954.4344331486718</v>
      </c>
      <c r="Q11" s="372">
        <f t="shared" si="1"/>
        <v>69.721679438400002</v>
      </c>
      <c r="R11" s="373">
        <f t="shared" si="2"/>
        <v>10204.890824</v>
      </c>
      <c r="S11" s="374">
        <f t="shared" si="39"/>
        <v>1540.9781648000001</v>
      </c>
      <c r="T11" s="373">
        <f t="shared" si="14"/>
        <v>8594.190979761599</v>
      </c>
      <c r="U11" s="373">
        <f t="shared" si="15"/>
        <v>20409.781648</v>
      </c>
      <c r="V11" s="374">
        <f>H11*0.2</f>
        <v>2040.9781648000001</v>
      </c>
      <c r="W11" s="373">
        <f t="shared" si="3"/>
        <v>8094.1909797615999</v>
      </c>
      <c r="X11" s="373">
        <f t="shared" si="4"/>
        <v>30614.672471999998</v>
      </c>
      <c r="Y11" s="376">
        <f>(X11-25000)*0.27+(25000-U11)*0.2</f>
        <v>2434.0052378399996</v>
      </c>
      <c r="Z11" s="373">
        <f t="shared" si="5"/>
        <v>7701.1639067216001</v>
      </c>
      <c r="AA11" s="373">
        <f t="shared" si="6"/>
        <v>40819.563296</v>
      </c>
      <c r="AB11" s="376">
        <f t="shared" si="7"/>
        <v>2755.3205224800004</v>
      </c>
      <c r="AC11" s="373">
        <f t="shared" si="16"/>
        <v>7379.8486220815994</v>
      </c>
      <c r="AD11" s="373">
        <f t="shared" si="17"/>
        <v>51024.454120000002</v>
      </c>
      <c r="AE11" s="376">
        <f t="shared" si="18"/>
        <v>2755.3205224800004</v>
      </c>
      <c r="AF11" s="373">
        <f t="shared" si="19"/>
        <v>7379.8486220815994</v>
      </c>
      <c r="AG11" s="373">
        <f t="shared" si="20"/>
        <v>61229.344943999997</v>
      </c>
      <c r="AH11" s="376">
        <f t="shared" si="21"/>
        <v>2755.3205224800004</v>
      </c>
      <c r="AI11" s="373">
        <f t="shared" si="22"/>
        <v>7379.8486220815994</v>
      </c>
      <c r="AJ11" s="373">
        <f t="shared" si="23"/>
        <v>71434.235767999999</v>
      </c>
      <c r="AK11" s="376">
        <f>H11*0.27</f>
        <v>2755.3205224800004</v>
      </c>
      <c r="AL11" s="373">
        <f t="shared" si="24"/>
        <v>7379.8486220815994</v>
      </c>
      <c r="AM11" s="373">
        <f t="shared" si="8"/>
        <v>81639.126592000001</v>
      </c>
      <c r="AN11" s="376">
        <f>H11*0.27</f>
        <v>2755.3205224800004</v>
      </c>
      <c r="AO11" s="373">
        <f t="shared" si="25"/>
        <v>7379.8486220815994</v>
      </c>
      <c r="AP11" s="373">
        <f t="shared" si="26"/>
        <v>91844.017416000002</v>
      </c>
      <c r="AQ11" s="377">
        <f>(AP11-88000)*0.35+(88000-AM11)*0.27</f>
        <v>3062.841915760001</v>
      </c>
      <c r="AR11" s="373">
        <f t="shared" si="27"/>
        <v>7072.3272288015987</v>
      </c>
      <c r="AS11" s="373">
        <f t="shared" si="28"/>
        <v>102048.90824</v>
      </c>
      <c r="AT11" s="377">
        <f t="shared" si="29"/>
        <v>3571.7117883999999</v>
      </c>
      <c r="AU11" s="373">
        <f t="shared" si="30"/>
        <v>6563.4573561615998</v>
      </c>
      <c r="AV11" s="373">
        <f t="shared" si="31"/>
        <v>112253.79906400001</v>
      </c>
      <c r="AW11" s="377">
        <f t="shared" si="32"/>
        <v>3571.7117883999999</v>
      </c>
      <c r="AX11" s="373">
        <f t="shared" si="9"/>
        <v>6563.4573561615998</v>
      </c>
      <c r="AY11" s="373">
        <f t="shared" si="10"/>
        <v>122458.68988799999</v>
      </c>
      <c r="AZ11" s="377">
        <f t="shared" si="37"/>
        <v>3571.7117883999999</v>
      </c>
      <c r="BA11" s="373">
        <f t="shared" si="34"/>
        <v>6563.4573561615998</v>
      </c>
      <c r="BB11" s="371"/>
      <c r="BD11" s="358"/>
    </row>
    <row r="12" spans="1:56" s="380" customFormat="1" ht="30" customHeight="1" x14ac:dyDescent="0.45">
      <c r="A12" s="728"/>
      <c r="B12" s="461" t="s">
        <v>236</v>
      </c>
      <c r="C12" s="231">
        <v>300</v>
      </c>
      <c r="D12" s="238">
        <v>6661</v>
      </c>
      <c r="E12" s="234">
        <v>9992.0399999999991</v>
      </c>
      <c r="F12" s="234">
        <f t="shared" si="38"/>
        <v>16653.04</v>
      </c>
      <c r="G12" s="233">
        <v>359</v>
      </c>
      <c r="H12" s="353">
        <f t="shared" si="35"/>
        <v>9926.1129079999992</v>
      </c>
      <c r="I12" s="463">
        <v>0.39</v>
      </c>
      <c r="J12" s="362">
        <v>7200</v>
      </c>
      <c r="K12" s="361">
        <f t="shared" si="11"/>
        <v>7218.2583116738651</v>
      </c>
      <c r="L12" s="390">
        <v>7218.2583116738651</v>
      </c>
      <c r="M12" s="390">
        <f t="shared" si="12"/>
        <v>0</v>
      </c>
      <c r="N12" s="390"/>
      <c r="O12" s="390">
        <f t="shared" si="13"/>
        <v>-18.258311673865137</v>
      </c>
      <c r="P12" s="390">
        <f t="shared" si="0"/>
        <v>7761.5680770686722</v>
      </c>
      <c r="Q12" s="372">
        <f t="shared" si="1"/>
        <v>67.881745192799997</v>
      </c>
      <c r="R12" s="373">
        <f t="shared" si="2"/>
        <v>9926.1129079999992</v>
      </c>
      <c r="S12" s="378">
        <f>(R12*0.15)</f>
        <v>1488.9169361999998</v>
      </c>
      <c r="T12" s="373">
        <f t="shared" si="14"/>
        <v>8369.3142266071991</v>
      </c>
      <c r="U12" s="373">
        <f t="shared" si="15"/>
        <v>19852.225815999998</v>
      </c>
      <c r="V12" s="374">
        <f>(U12-10000)*0.2+(10000-R12)*0.15</f>
        <v>1981.528227</v>
      </c>
      <c r="W12" s="373">
        <f t="shared" si="3"/>
        <v>7876.7029358071986</v>
      </c>
      <c r="X12" s="373">
        <f t="shared" si="4"/>
        <v>29778.338723999997</v>
      </c>
      <c r="Y12" s="382">
        <f>(X12-25000)*0.27+(25000-U12)*0.2</f>
        <v>2319.7062922799996</v>
      </c>
      <c r="Z12" s="373">
        <f t="shared" si="5"/>
        <v>7538.5248705271988</v>
      </c>
      <c r="AA12" s="373">
        <f t="shared" si="6"/>
        <v>39704.451631999997</v>
      </c>
      <c r="AB12" s="382">
        <f t="shared" si="7"/>
        <v>2680.0504851599999</v>
      </c>
      <c r="AC12" s="373">
        <f t="shared" si="16"/>
        <v>7178.1806776471985</v>
      </c>
      <c r="AD12" s="373">
        <f t="shared" si="17"/>
        <v>49630.564539999992</v>
      </c>
      <c r="AE12" s="382">
        <f t="shared" si="18"/>
        <v>2680.0504851599999</v>
      </c>
      <c r="AF12" s="373">
        <f t="shared" si="19"/>
        <v>7178.1806776471985</v>
      </c>
      <c r="AG12" s="373">
        <f t="shared" si="20"/>
        <v>59556.677447999995</v>
      </c>
      <c r="AH12" s="382">
        <f t="shared" si="21"/>
        <v>2680.0504851599999</v>
      </c>
      <c r="AI12" s="373">
        <f t="shared" si="22"/>
        <v>7178.1806776471985</v>
      </c>
      <c r="AJ12" s="373">
        <f t="shared" si="23"/>
        <v>69482.790355999998</v>
      </c>
      <c r="AK12" s="382">
        <f>H12*0.27</f>
        <v>2680.0504851599999</v>
      </c>
      <c r="AL12" s="373">
        <f t="shared" si="24"/>
        <v>7178.1806776471985</v>
      </c>
      <c r="AM12" s="373">
        <f t="shared" si="8"/>
        <v>79408.903263999993</v>
      </c>
      <c r="AN12" s="376">
        <f>H12*0.27</f>
        <v>2680.0504851599999</v>
      </c>
      <c r="AO12" s="373">
        <f t="shared" si="25"/>
        <v>7178.1806776471985</v>
      </c>
      <c r="AP12" s="373">
        <f t="shared" si="26"/>
        <v>89335.016171999989</v>
      </c>
      <c r="AQ12" s="377">
        <f>(AP12-88000)*0.35+(88000-AM12)*0.27</f>
        <v>2786.8517789199977</v>
      </c>
      <c r="AR12" s="373">
        <f t="shared" si="27"/>
        <v>7071.3793838872007</v>
      </c>
      <c r="AS12" s="373">
        <f t="shared" si="28"/>
        <v>99261.129079999984</v>
      </c>
      <c r="AT12" s="383">
        <f t="shared" si="29"/>
        <v>3474.1395177999993</v>
      </c>
      <c r="AU12" s="373">
        <f t="shared" si="30"/>
        <v>6384.0916450071991</v>
      </c>
      <c r="AV12" s="373">
        <f t="shared" si="31"/>
        <v>109187.24198799999</v>
      </c>
      <c r="AW12" s="383">
        <f t="shared" si="32"/>
        <v>3474.1395177999993</v>
      </c>
      <c r="AX12" s="373">
        <f t="shared" si="9"/>
        <v>6384.0916450071991</v>
      </c>
      <c r="AY12" s="373">
        <f t="shared" si="10"/>
        <v>119113.35489599999</v>
      </c>
      <c r="AZ12" s="383">
        <f t="shared" si="37"/>
        <v>3474.1395177999993</v>
      </c>
      <c r="BA12" s="373">
        <f t="shared" si="34"/>
        <v>6384.0916450071991</v>
      </c>
      <c r="BB12" s="384"/>
      <c r="BD12" s="358"/>
    </row>
    <row r="13" spans="1:56" s="233" customFormat="1" ht="30" customHeight="1" x14ac:dyDescent="0.45">
      <c r="A13" s="728"/>
      <c r="B13" s="461" t="s">
        <v>235</v>
      </c>
      <c r="C13" s="231">
        <v>300</v>
      </c>
      <c r="D13" s="238">
        <v>6661</v>
      </c>
      <c r="E13" s="234">
        <v>9992.0399999999991</v>
      </c>
      <c r="F13" s="234">
        <f t="shared" si="38"/>
        <v>16653.04</v>
      </c>
      <c r="G13" s="233">
        <v>359</v>
      </c>
      <c r="H13" s="353">
        <f t="shared" si="35"/>
        <v>9275.6311040000001</v>
      </c>
      <c r="I13" s="463">
        <v>0.32</v>
      </c>
      <c r="J13" s="362">
        <v>6800</v>
      </c>
      <c r="K13" s="361">
        <f t="shared" si="11"/>
        <v>6799.7383189802667</v>
      </c>
      <c r="L13" s="390">
        <v>6799.7383189802667</v>
      </c>
      <c r="M13" s="390">
        <f t="shared" si="12"/>
        <v>0</v>
      </c>
      <c r="N13" s="390"/>
      <c r="O13" s="390">
        <f t="shared" si="13"/>
        <v>0.26168101973325975</v>
      </c>
      <c r="P13" s="390">
        <f t="shared" si="0"/>
        <v>7311.5465795486734</v>
      </c>
      <c r="Q13" s="372">
        <f t="shared" si="1"/>
        <v>63.588565286399998</v>
      </c>
      <c r="R13" s="373">
        <f t="shared" si="2"/>
        <v>9275.6311040000001</v>
      </c>
      <c r="S13" s="378">
        <f>(R13*0.15)</f>
        <v>1391.3446655999999</v>
      </c>
      <c r="T13" s="373">
        <f t="shared" si="14"/>
        <v>7820.6978731136005</v>
      </c>
      <c r="U13" s="373">
        <f t="shared" si="15"/>
        <v>18551.262208</v>
      </c>
      <c r="V13" s="374">
        <f>(U13-10000)*0.2+(10000-R13)*0.15</f>
        <v>1818.907776</v>
      </c>
      <c r="W13" s="373">
        <f t="shared" si="3"/>
        <v>7393.1347627136001</v>
      </c>
      <c r="X13" s="373">
        <f t="shared" si="4"/>
        <v>27826.893312</v>
      </c>
      <c r="Y13" s="376">
        <f>(X13-25000)*0.27+(25000-U13)*0.2</f>
        <v>2053.0087526400002</v>
      </c>
      <c r="Z13" s="373">
        <f t="shared" si="5"/>
        <v>7159.0337860735999</v>
      </c>
      <c r="AA13" s="373">
        <f t="shared" si="6"/>
        <v>37102.524416</v>
      </c>
      <c r="AB13" s="376">
        <f t="shared" si="7"/>
        <v>2504.4203980800003</v>
      </c>
      <c r="AC13" s="373">
        <f t="shared" si="16"/>
        <v>6707.6221406335999</v>
      </c>
      <c r="AD13" s="373">
        <f t="shared" si="17"/>
        <v>46378.15552</v>
      </c>
      <c r="AE13" s="376">
        <f t="shared" si="18"/>
        <v>2504.4203980800003</v>
      </c>
      <c r="AF13" s="373">
        <f t="shared" si="19"/>
        <v>6707.6221406335999</v>
      </c>
      <c r="AG13" s="373">
        <f t="shared" si="20"/>
        <v>55653.786624</v>
      </c>
      <c r="AH13" s="376">
        <f t="shared" si="21"/>
        <v>2504.4203980800003</v>
      </c>
      <c r="AI13" s="373">
        <f t="shared" si="22"/>
        <v>6707.6221406335999</v>
      </c>
      <c r="AJ13" s="373">
        <f t="shared" si="23"/>
        <v>64929.417728</v>
      </c>
      <c r="AK13" s="376">
        <f>H13*0.27</f>
        <v>2504.4203980800003</v>
      </c>
      <c r="AL13" s="373">
        <f t="shared" si="24"/>
        <v>6707.6221406335999</v>
      </c>
      <c r="AM13" s="373">
        <f t="shared" si="8"/>
        <v>74205.048832</v>
      </c>
      <c r="AN13" s="376">
        <f>H13*0.27</f>
        <v>2504.4203980800003</v>
      </c>
      <c r="AO13" s="373">
        <f t="shared" si="25"/>
        <v>6707.6221406335999</v>
      </c>
      <c r="AP13" s="373">
        <f t="shared" si="26"/>
        <v>83480.679936</v>
      </c>
      <c r="AQ13" s="376">
        <f>H13*0.27</f>
        <v>2504.4203980800003</v>
      </c>
      <c r="AR13" s="373">
        <f t="shared" si="27"/>
        <v>6707.6221406335999</v>
      </c>
      <c r="AS13" s="373">
        <f t="shared" si="28"/>
        <v>92756.311040000001</v>
      </c>
      <c r="AT13" s="377">
        <f>(AS13-88000)*0.35+(88000-AP13)*0.27</f>
        <v>2884.92528128</v>
      </c>
      <c r="AU13" s="373">
        <f t="shared" si="30"/>
        <v>6327.1172574335997</v>
      </c>
      <c r="AV13" s="373">
        <f t="shared" si="31"/>
        <v>102031.942144</v>
      </c>
      <c r="AW13" s="377">
        <f t="shared" si="32"/>
        <v>3246.4708863999999</v>
      </c>
      <c r="AX13" s="373">
        <f t="shared" si="9"/>
        <v>5965.5716523135998</v>
      </c>
      <c r="AY13" s="373">
        <f t="shared" si="10"/>
        <v>111307.573248</v>
      </c>
      <c r="AZ13" s="377">
        <f t="shared" si="37"/>
        <v>3246.4708863999999</v>
      </c>
      <c r="BA13" s="373">
        <f t="shared" si="34"/>
        <v>5965.5716523135998</v>
      </c>
      <c r="BB13" s="371"/>
      <c r="BD13" s="358"/>
    </row>
    <row r="14" spans="1:56" s="233" customFormat="1" ht="30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38"/>
        <v>16653.04</v>
      </c>
      <c r="G14" s="233">
        <v>359</v>
      </c>
      <c r="H14" s="353">
        <f t="shared" si="35"/>
        <v>8346.371384</v>
      </c>
      <c r="I14" s="463">
        <v>0.22</v>
      </c>
      <c r="J14" s="362">
        <v>6200</v>
      </c>
      <c r="K14" s="361">
        <f t="shared" si="11"/>
        <v>6201.8526151322667</v>
      </c>
      <c r="L14" s="390">
        <v>6201.8526151322667</v>
      </c>
      <c r="M14" s="390">
        <f t="shared" si="12"/>
        <v>0</v>
      </c>
      <c r="N14" s="390"/>
      <c r="O14" s="390">
        <f t="shared" si="13"/>
        <v>-1.8526151322666919</v>
      </c>
      <c r="P14" s="390">
        <f t="shared" si="0"/>
        <v>6668.6587259486732</v>
      </c>
      <c r="Q14" s="372">
        <f t="shared" si="1"/>
        <v>57.455451134400001</v>
      </c>
      <c r="R14" s="373">
        <f t="shared" si="2"/>
        <v>8346.371384</v>
      </c>
      <c r="S14" s="378">
        <f>(R14*0.15)</f>
        <v>1251.9557075999999</v>
      </c>
      <c r="T14" s="373">
        <f t="shared" si="14"/>
        <v>7036.9602252656005</v>
      </c>
      <c r="U14" s="373">
        <f t="shared" si="15"/>
        <v>16692.742768</v>
      </c>
      <c r="V14" s="374">
        <f>(U14-10000)*0.2+(10000-R14)*0.15</f>
        <v>1586.592846</v>
      </c>
      <c r="W14" s="373">
        <f t="shared" si="3"/>
        <v>6702.323086865601</v>
      </c>
      <c r="X14" s="373">
        <f t="shared" si="4"/>
        <v>25039.114152000002</v>
      </c>
      <c r="Y14" s="376">
        <f>(X14-25000)*0.27+(25000-U14)*0.2</f>
        <v>1672.0122674400006</v>
      </c>
      <c r="Z14" s="373">
        <f t="shared" si="5"/>
        <v>6616.9036654255997</v>
      </c>
      <c r="AA14" s="373">
        <f t="shared" si="6"/>
        <v>33385.485536</v>
      </c>
      <c r="AB14" s="376">
        <f t="shared" si="7"/>
        <v>2253.5202736800002</v>
      </c>
      <c r="AC14" s="373">
        <f t="shared" si="16"/>
        <v>6035.3956591856004</v>
      </c>
      <c r="AD14" s="373">
        <f t="shared" si="17"/>
        <v>41731.856919999998</v>
      </c>
      <c r="AE14" s="376">
        <f t="shared" si="18"/>
        <v>2253.5202736800002</v>
      </c>
      <c r="AF14" s="373">
        <f t="shared" si="19"/>
        <v>6035.3956591856004</v>
      </c>
      <c r="AG14" s="373">
        <f t="shared" si="20"/>
        <v>50078.228304000004</v>
      </c>
      <c r="AH14" s="376">
        <f t="shared" si="21"/>
        <v>2253.5202736800002</v>
      </c>
      <c r="AI14" s="373">
        <f t="shared" si="22"/>
        <v>6035.3956591856004</v>
      </c>
      <c r="AJ14" s="373">
        <f t="shared" si="23"/>
        <v>58424.599688000002</v>
      </c>
      <c r="AK14" s="376">
        <f>H14*0.27</f>
        <v>2253.5202736800002</v>
      </c>
      <c r="AL14" s="373">
        <f t="shared" si="24"/>
        <v>6035.3956591856004</v>
      </c>
      <c r="AM14" s="373">
        <f t="shared" si="8"/>
        <v>66770.971072</v>
      </c>
      <c r="AN14" s="376">
        <f>H14*0.27</f>
        <v>2253.5202736800002</v>
      </c>
      <c r="AO14" s="373">
        <f t="shared" si="25"/>
        <v>6035.3956591856004</v>
      </c>
      <c r="AP14" s="373">
        <f t="shared" si="26"/>
        <v>75117.342455999998</v>
      </c>
      <c r="AQ14" s="376">
        <f>H14*0.27</f>
        <v>2253.5202736800002</v>
      </c>
      <c r="AR14" s="373">
        <f t="shared" si="27"/>
        <v>6035.3956591856004</v>
      </c>
      <c r="AS14" s="373">
        <f t="shared" si="28"/>
        <v>83463.713839999997</v>
      </c>
      <c r="AT14" s="376">
        <f>H14*0.27</f>
        <v>2253.5202736800002</v>
      </c>
      <c r="AU14" s="373">
        <f t="shared" si="30"/>
        <v>6035.3956591856004</v>
      </c>
      <c r="AV14" s="373">
        <f t="shared" si="31"/>
        <v>91810.085223999995</v>
      </c>
      <c r="AW14" s="377">
        <f>(AV14-88000)*0.35+(88000-AS14)*0.27</f>
        <v>2558.3270915999992</v>
      </c>
      <c r="AX14" s="373">
        <f t="shared" si="9"/>
        <v>5730.5888412656013</v>
      </c>
      <c r="AY14" s="373">
        <f t="shared" si="10"/>
        <v>100156.45660800001</v>
      </c>
      <c r="AZ14" s="377">
        <f t="shared" si="37"/>
        <v>2921.2299843999999</v>
      </c>
      <c r="BA14" s="373">
        <f t="shared" si="34"/>
        <v>5367.6859484656006</v>
      </c>
      <c r="BB14" s="371"/>
      <c r="BD14" s="358"/>
    </row>
    <row r="15" spans="1:56" s="233" customFormat="1" ht="30" customHeight="1" x14ac:dyDescent="0.45">
      <c r="A15" s="730" t="s">
        <v>15</v>
      </c>
      <c r="B15" s="461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38"/>
        <v>24980.1</v>
      </c>
      <c r="G15" s="233">
        <v>359</v>
      </c>
      <c r="H15" s="353">
        <f t="shared" si="35"/>
        <v>17089.100247999999</v>
      </c>
      <c r="I15" s="463">
        <v>0.67</v>
      </c>
      <c r="J15" s="362">
        <v>11900</v>
      </c>
      <c r="K15" s="361">
        <f t="shared" si="11"/>
        <v>11826.924366229863</v>
      </c>
      <c r="L15" s="390">
        <v>11826.924366229863</v>
      </c>
      <c r="M15" s="390">
        <f t="shared" si="12"/>
        <v>0</v>
      </c>
      <c r="N15" s="390"/>
      <c r="O15" s="390">
        <f t="shared" si="13"/>
        <v>73.075633770136847</v>
      </c>
      <c r="P15" s="390">
        <f t="shared" si="0"/>
        <v>12717.122974440712</v>
      </c>
      <c r="Q15" s="372">
        <f t="shared" si="1"/>
        <v>115.15746163679999</v>
      </c>
      <c r="R15" s="373">
        <f t="shared" si="2"/>
        <v>17089.100247999999</v>
      </c>
      <c r="S15" s="374">
        <f t="shared" si="39"/>
        <v>2917.8200495999999</v>
      </c>
      <c r="T15" s="373">
        <f t="shared" si="14"/>
        <v>14056.122736763198</v>
      </c>
      <c r="U15" s="373">
        <f t="shared" si="15"/>
        <v>34178.200495999998</v>
      </c>
      <c r="V15" s="376">
        <f>(U15-25000)*0.27+(25000-R15)*0.2</f>
        <v>4060.2940843199995</v>
      </c>
      <c r="W15" s="373">
        <f t="shared" si="3"/>
        <v>12913.648702043198</v>
      </c>
      <c r="X15" s="373">
        <f t="shared" si="4"/>
        <v>51267.300743999993</v>
      </c>
      <c r="Y15" s="376">
        <f>H15*0.27</f>
        <v>4614.0570669600002</v>
      </c>
      <c r="Z15" s="373">
        <f t="shared" si="5"/>
        <v>12359.885719403197</v>
      </c>
      <c r="AA15" s="373">
        <f t="shared" si="6"/>
        <v>68356.400991999995</v>
      </c>
      <c r="AB15" s="376">
        <f t="shared" si="7"/>
        <v>4614.0570669600002</v>
      </c>
      <c r="AC15" s="373">
        <f t="shared" si="16"/>
        <v>12359.885719403197</v>
      </c>
      <c r="AD15" s="373">
        <f t="shared" si="17"/>
        <v>85445.501239999998</v>
      </c>
      <c r="AE15" s="376">
        <f t="shared" si="18"/>
        <v>4614.0570669600002</v>
      </c>
      <c r="AF15" s="373">
        <f t="shared" si="19"/>
        <v>12359.885719403197</v>
      </c>
      <c r="AG15" s="373">
        <f t="shared" si="20"/>
        <v>102534.60148799999</v>
      </c>
      <c r="AH15" s="377">
        <f>(AG15-88000)*0.35+(88000-AD15)*0.27</f>
        <v>5776.8251859999955</v>
      </c>
      <c r="AI15" s="373">
        <f t="shared" si="22"/>
        <v>11197.117600363203</v>
      </c>
      <c r="AJ15" s="373">
        <f t="shared" si="23"/>
        <v>119623.70173599999</v>
      </c>
      <c r="AK15" s="377">
        <f>H15*0.35</f>
        <v>5981.1850867999992</v>
      </c>
      <c r="AL15" s="373">
        <f t="shared" si="24"/>
        <v>10992.757699563197</v>
      </c>
      <c r="AM15" s="373">
        <f t="shared" si="8"/>
        <v>136712.80198399999</v>
      </c>
      <c r="AN15" s="377">
        <f>H15*0.35</f>
        <v>5981.1850867999992</v>
      </c>
      <c r="AO15" s="373">
        <f t="shared" si="25"/>
        <v>10992.757699563197</v>
      </c>
      <c r="AP15" s="373">
        <f t="shared" si="26"/>
        <v>153801.90223199999</v>
      </c>
      <c r="AQ15" s="377">
        <f>H15*0.35</f>
        <v>5981.1850867999992</v>
      </c>
      <c r="AR15" s="373">
        <f t="shared" si="27"/>
        <v>10992.757699563197</v>
      </c>
      <c r="AS15" s="373">
        <f t="shared" si="28"/>
        <v>170891.00248</v>
      </c>
      <c r="AT15" s="377">
        <f>H15*0.35</f>
        <v>5981.1850867999992</v>
      </c>
      <c r="AU15" s="373">
        <f t="shared" si="30"/>
        <v>10992.757699563197</v>
      </c>
      <c r="AV15" s="373">
        <f t="shared" si="31"/>
        <v>187980.102728</v>
      </c>
      <c r="AW15" s="377">
        <f t="shared" si="32"/>
        <v>5981.1850867999992</v>
      </c>
      <c r="AX15" s="373">
        <f t="shared" si="9"/>
        <v>10992.757699563197</v>
      </c>
      <c r="AY15" s="373">
        <f t="shared" si="10"/>
        <v>205069.20297599997</v>
      </c>
      <c r="AZ15" s="377">
        <f t="shared" si="37"/>
        <v>5981.1850867999992</v>
      </c>
      <c r="BA15" s="373">
        <f t="shared" si="34"/>
        <v>10992.757699563197</v>
      </c>
      <c r="BB15" s="371"/>
      <c r="BD15" s="358"/>
    </row>
    <row r="16" spans="1:56" s="233" customFormat="1" ht="30" customHeight="1" x14ac:dyDescent="0.45">
      <c r="A16" s="730"/>
      <c r="B16" s="461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38"/>
        <v>24980.1</v>
      </c>
      <c r="G16" s="233">
        <v>359</v>
      </c>
      <c r="H16" s="353">
        <f t="shared" si="35"/>
        <v>11141.838039999999</v>
      </c>
      <c r="I16" s="363">
        <v>0.35</v>
      </c>
      <c r="J16" s="362">
        <v>8000</v>
      </c>
      <c r="K16" s="361">
        <f t="shared" si="11"/>
        <v>8000.4558616026688</v>
      </c>
      <c r="L16" s="390">
        <v>8000.4558616026688</v>
      </c>
      <c r="M16" s="390">
        <f t="shared" si="12"/>
        <v>0</v>
      </c>
      <c r="N16" s="390"/>
      <c r="O16" s="390">
        <f t="shared" si="13"/>
        <v>-0.4558616026688469</v>
      </c>
      <c r="P16" s="390">
        <f t="shared" si="0"/>
        <v>8602.6407114007179</v>
      </c>
      <c r="Q16" s="372">
        <f t="shared" si="1"/>
        <v>75.905531063999987</v>
      </c>
      <c r="R16" s="373">
        <f t="shared" si="2"/>
        <v>11141.838039999999</v>
      </c>
      <c r="S16" s="374">
        <f t="shared" si="39"/>
        <v>1728.3676079999998</v>
      </c>
      <c r="T16" s="373">
        <f t="shared" si="14"/>
        <v>9337.5649009359986</v>
      </c>
      <c r="U16" s="373">
        <f t="shared" si="15"/>
        <v>22283.676079999997</v>
      </c>
      <c r="V16" s="374">
        <f>H16*0.2</f>
        <v>2228.367608</v>
      </c>
      <c r="W16" s="373">
        <f t="shared" si="3"/>
        <v>8837.5649009359986</v>
      </c>
      <c r="X16" s="373">
        <f t="shared" si="4"/>
        <v>33425.514119999993</v>
      </c>
      <c r="Y16" s="376">
        <f>(X16-25000)*0.27+(25000-U16)*0.2</f>
        <v>2818.1535963999986</v>
      </c>
      <c r="Z16" s="373">
        <f t="shared" si="5"/>
        <v>8247.7789125359996</v>
      </c>
      <c r="AA16" s="373">
        <f t="shared" si="6"/>
        <v>44567.352159999995</v>
      </c>
      <c r="AB16" s="376">
        <f t="shared" si="7"/>
        <v>3008.2962708</v>
      </c>
      <c r="AC16" s="373">
        <f t="shared" si="16"/>
        <v>8057.6362381359995</v>
      </c>
      <c r="AD16" s="373">
        <f t="shared" si="17"/>
        <v>55709.190199999997</v>
      </c>
      <c r="AE16" s="376">
        <f t="shared" si="18"/>
        <v>3008.2962708</v>
      </c>
      <c r="AF16" s="373">
        <f t="shared" si="19"/>
        <v>8057.6362381359995</v>
      </c>
      <c r="AG16" s="373">
        <f t="shared" si="20"/>
        <v>66851.028239999985</v>
      </c>
      <c r="AH16" s="376">
        <f t="shared" ref="AH16:AH26" si="41">H16*0.27</f>
        <v>3008.2962708</v>
      </c>
      <c r="AI16" s="373">
        <f t="shared" si="22"/>
        <v>8057.6362381359995</v>
      </c>
      <c r="AJ16" s="373">
        <f t="shared" si="23"/>
        <v>77992.866279999987</v>
      </c>
      <c r="AK16" s="376">
        <f>H16*0.27</f>
        <v>3008.2962708</v>
      </c>
      <c r="AL16" s="373">
        <f t="shared" si="24"/>
        <v>8057.6362381359995</v>
      </c>
      <c r="AM16" s="373">
        <f t="shared" si="8"/>
        <v>89134.70431999999</v>
      </c>
      <c r="AN16" s="377">
        <f>(AM16-88000)*0.35+(88000-AJ16)*0.27</f>
        <v>3099.0726163999998</v>
      </c>
      <c r="AO16" s="373">
        <f t="shared" si="25"/>
        <v>7966.8598925359993</v>
      </c>
      <c r="AP16" s="373">
        <f t="shared" si="26"/>
        <v>100276.54235999999</v>
      </c>
      <c r="AQ16" s="377">
        <f>H16*0.35</f>
        <v>3899.6433139999995</v>
      </c>
      <c r="AR16" s="373">
        <f t="shared" si="27"/>
        <v>7166.2891949360001</v>
      </c>
      <c r="AS16" s="373">
        <f t="shared" si="28"/>
        <v>111418.38039999999</v>
      </c>
      <c r="AT16" s="377">
        <f>H16*0.35</f>
        <v>3899.6433139999995</v>
      </c>
      <c r="AU16" s="373">
        <f t="shared" si="30"/>
        <v>7166.2891949360001</v>
      </c>
      <c r="AV16" s="373">
        <f t="shared" si="31"/>
        <v>122560.21843999998</v>
      </c>
      <c r="AW16" s="377">
        <f t="shared" si="32"/>
        <v>3899.6433139999995</v>
      </c>
      <c r="AX16" s="373">
        <f t="shared" si="9"/>
        <v>7166.2891949360001</v>
      </c>
      <c r="AY16" s="373">
        <f t="shared" si="10"/>
        <v>133702.05647999997</v>
      </c>
      <c r="AZ16" s="377">
        <f t="shared" si="37"/>
        <v>3899.6433139999995</v>
      </c>
      <c r="BA16" s="373">
        <f t="shared" si="34"/>
        <v>7166.2891949360001</v>
      </c>
      <c r="BB16" s="371"/>
      <c r="BD16" s="358"/>
    </row>
    <row r="17" spans="1:56" s="233" customFormat="1" ht="30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38"/>
        <v>24980.1</v>
      </c>
      <c r="G17" s="233">
        <v>359</v>
      </c>
      <c r="H17" s="353">
        <f t="shared" si="35"/>
        <v>9283.3185999999987</v>
      </c>
      <c r="I17" s="363">
        <v>0.25</v>
      </c>
      <c r="J17" s="362">
        <v>6804</v>
      </c>
      <c r="K17" s="361">
        <f t="shared" si="11"/>
        <v>6804.684453906666</v>
      </c>
      <c r="L17" s="390">
        <v>6804.684453906666</v>
      </c>
      <c r="M17" s="390">
        <f t="shared" si="12"/>
        <v>0</v>
      </c>
      <c r="N17" s="390"/>
      <c r="O17" s="390">
        <f t="shared" si="13"/>
        <v>-0.68445390666602179</v>
      </c>
      <c r="P17" s="390">
        <f t="shared" si="0"/>
        <v>7316.8650042007157</v>
      </c>
      <c r="Q17" s="372">
        <f t="shared" si="1"/>
        <v>63.639302759999993</v>
      </c>
      <c r="R17" s="373">
        <f t="shared" si="2"/>
        <v>9283.3185999999987</v>
      </c>
      <c r="S17" s="378">
        <f>R17*0.15</f>
        <v>1392.4977899999997</v>
      </c>
      <c r="T17" s="373">
        <f t="shared" si="14"/>
        <v>7827.1815072399986</v>
      </c>
      <c r="U17" s="373">
        <f t="shared" si="15"/>
        <v>18566.637199999997</v>
      </c>
      <c r="V17" s="374">
        <f>(U17-10000)*0.2+(10000-R17)*0.15</f>
        <v>1820.8296499999997</v>
      </c>
      <c r="W17" s="373">
        <f t="shared" si="3"/>
        <v>7398.8496472399984</v>
      </c>
      <c r="X17" s="373">
        <f t="shared" si="4"/>
        <v>27849.955799999996</v>
      </c>
      <c r="Y17" s="376">
        <f>(X17-25000)*0.27+(25000-U17)*0.2</f>
        <v>2056.1606259999999</v>
      </c>
      <c r="Z17" s="373">
        <f t="shared" si="5"/>
        <v>7163.5186712399982</v>
      </c>
      <c r="AA17" s="373">
        <f t="shared" si="6"/>
        <v>37133.274399999995</v>
      </c>
      <c r="AB17" s="376">
        <f t="shared" si="7"/>
        <v>2506.4960219999998</v>
      </c>
      <c r="AC17" s="373">
        <f t="shared" si="16"/>
        <v>6713.1832752399987</v>
      </c>
      <c r="AD17" s="373">
        <f t="shared" si="17"/>
        <v>46416.592999999993</v>
      </c>
      <c r="AE17" s="376">
        <f t="shared" si="18"/>
        <v>2506.4960219999998</v>
      </c>
      <c r="AF17" s="373">
        <f t="shared" si="19"/>
        <v>6713.1832752399987</v>
      </c>
      <c r="AG17" s="373">
        <f t="shared" si="20"/>
        <v>55699.911599999992</v>
      </c>
      <c r="AH17" s="376">
        <f t="shared" si="41"/>
        <v>2506.4960219999998</v>
      </c>
      <c r="AI17" s="373">
        <f t="shared" si="22"/>
        <v>6713.1832752399987</v>
      </c>
      <c r="AJ17" s="373">
        <f t="shared" si="23"/>
        <v>64983.230199999991</v>
      </c>
      <c r="AK17" s="376">
        <f>H17*0.27</f>
        <v>2506.4960219999998</v>
      </c>
      <c r="AL17" s="373">
        <f t="shared" si="24"/>
        <v>6713.1832752399987</v>
      </c>
      <c r="AM17" s="373">
        <f t="shared" si="8"/>
        <v>74266.54879999999</v>
      </c>
      <c r="AN17" s="376">
        <f>H17*0.27</f>
        <v>2506.4960219999998</v>
      </c>
      <c r="AO17" s="373">
        <f t="shared" si="25"/>
        <v>6713.1832752399987</v>
      </c>
      <c r="AP17" s="373">
        <f t="shared" si="26"/>
        <v>83549.867399999988</v>
      </c>
      <c r="AQ17" s="376">
        <f>H17*0.27</f>
        <v>2506.4960219999998</v>
      </c>
      <c r="AR17" s="373">
        <f t="shared" si="27"/>
        <v>6713.1832752399987</v>
      </c>
      <c r="AS17" s="373">
        <f t="shared" si="28"/>
        <v>92833.185999999987</v>
      </c>
      <c r="AT17" s="377">
        <f>(AS17-88000)*0.35+(88000-AP17)*0.27</f>
        <v>2893.1509019999985</v>
      </c>
      <c r="AU17" s="373">
        <f t="shared" si="30"/>
        <v>6326.5283952399996</v>
      </c>
      <c r="AV17" s="373">
        <f t="shared" si="31"/>
        <v>102116.50459999999</v>
      </c>
      <c r="AW17" s="377">
        <f t="shared" si="32"/>
        <v>3249.1615099999995</v>
      </c>
      <c r="AX17" s="373">
        <f t="shared" si="9"/>
        <v>5970.5177872399981</v>
      </c>
      <c r="AY17" s="373">
        <f t="shared" si="10"/>
        <v>111399.82319999998</v>
      </c>
      <c r="AZ17" s="377">
        <f t="shared" si="37"/>
        <v>3249.1615099999995</v>
      </c>
      <c r="BA17" s="373">
        <f t="shared" si="34"/>
        <v>5970.5177872399981</v>
      </c>
      <c r="BB17" s="371"/>
      <c r="BD17" s="358"/>
    </row>
    <row r="18" spans="1:56" s="233" customFormat="1" ht="30" customHeight="1" x14ac:dyDescent="0.45">
      <c r="A18" s="730"/>
      <c r="B18" s="461" t="s">
        <v>32</v>
      </c>
      <c r="C18" s="231">
        <v>450</v>
      </c>
      <c r="D18" s="234">
        <v>4996.0199999999995</v>
      </c>
      <c r="E18" s="234">
        <v>14988.06</v>
      </c>
      <c r="F18" s="234">
        <f t="shared" si="38"/>
        <v>19984.079999999998</v>
      </c>
      <c r="G18" s="233">
        <v>359</v>
      </c>
      <c r="H18" s="353">
        <f t="shared" si="35"/>
        <v>13418.524354000001</v>
      </c>
      <c r="I18" s="463">
        <v>0.63</v>
      </c>
      <c r="J18" s="362">
        <v>9500</v>
      </c>
      <c r="K18" s="361">
        <f t="shared" si="11"/>
        <v>9465.2758360302669</v>
      </c>
      <c r="L18" s="390">
        <v>9465.2758360302669</v>
      </c>
      <c r="M18" s="390">
        <f t="shared" si="12"/>
        <v>0</v>
      </c>
      <c r="N18" s="390"/>
      <c r="O18" s="390">
        <f t="shared" si="13"/>
        <v>34.724163969733127</v>
      </c>
      <c r="P18" s="390">
        <f t="shared" si="0"/>
        <v>10177.715952720717</v>
      </c>
      <c r="Q18" s="372">
        <f t="shared" si="1"/>
        <v>90.931660736400005</v>
      </c>
      <c r="R18" s="373">
        <f t="shared" si="2"/>
        <v>13418.524354000001</v>
      </c>
      <c r="S18" s="374">
        <f t="shared" si="39"/>
        <v>2183.7048708000002</v>
      </c>
      <c r="T18" s="373">
        <f t="shared" si="14"/>
        <v>11143.887822463601</v>
      </c>
      <c r="U18" s="373">
        <f t="shared" si="15"/>
        <v>26837.048708000002</v>
      </c>
      <c r="V18" s="376">
        <f>(U18-25000)*0.27+(25000-R18)*0.2</f>
        <v>2812.2982803600003</v>
      </c>
      <c r="W18" s="373">
        <f t="shared" si="3"/>
        <v>10515.2944129036</v>
      </c>
      <c r="X18" s="373">
        <f t="shared" si="4"/>
        <v>40255.573062000003</v>
      </c>
      <c r="Y18" s="376">
        <f>H18*0.27</f>
        <v>3623.0015755800005</v>
      </c>
      <c r="Z18" s="373">
        <f t="shared" si="5"/>
        <v>9704.5911176836016</v>
      </c>
      <c r="AA18" s="373">
        <f t="shared" si="6"/>
        <v>53674.097416000004</v>
      </c>
      <c r="AB18" s="376">
        <f t="shared" si="7"/>
        <v>3623.0015755800005</v>
      </c>
      <c r="AC18" s="373">
        <f t="shared" si="16"/>
        <v>9704.5911176836016</v>
      </c>
      <c r="AD18" s="373">
        <f t="shared" si="17"/>
        <v>67092.621769999998</v>
      </c>
      <c r="AE18" s="376">
        <f t="shared" si="18"/>
        <v>3623.0015755800005</v>
      </c>
      <c r="AF18" s="373">
        <f t="shared" si="19"/>
        <v>9704.5911176836016</v>
      </c>
      <c r="AG18" s="373">
        <f t="shared" si="20"/>
        <v>80511.146124000006</v>
      </c>
      <c r="AH18" s="376">
        <f t="shared" si="41"/>
        <v>3623.0015755800005</v>
      </c>
      <c r="AI18" s="373">
        <f t="shared" si="22"/>
        <v>9704.5911176836016</v>
      </c>
      <c r="AJ18" s="373">
        <f t="shared" si="23"/>
        <v>93929.670478000015</v>
      </c>
      <c r="AK18" s="377">
        <f>(AJ18-88000)*0.35+(88000-AG18)*0.27</f>
        <v>4097.3752138200034</v>
      </c>
      <c r="AL18" s="373">
        <f t="shared" si="24"/>
        <v>9230.2174794435978</v>
      </c>
      <c r="AM18" s="373">
        <f t="shared" si="8"/>
        <v>107348.19483200001</v>
      </c>
      <c r="AN18" s="377">
        <f>H18*0.35</f>
        <v>4696.4835239000004</v>
      </c>
      <c r="AO18" s="373">
        <f t="shared" si="25"/>
        <v>8631.1091693636008</v>
      </c>
      <c r="AP18" s="373">
        <f t="shared" si="26"/>
        <v>120766.719186</v>
      </c>
      <c r="AQ18" s="377">
        <f>H18*0.35</f>
        <v>4696.4835239000004</v>
      </c>
      <c r="AR18" s="373">
        <f t="shared" si="27"/>
        <v>8631.1091693636008</v>
      </c>
      <c r="AS18" s="373">
        <f t="shared" si="28"/>
        <v>134185.24354</v>
      </c>
      <c r="AT18" s="377">
        <f>H18*0.35</f>
        <v>4696.4835239000004</v>
      </c>
      <c r="AU18" s="373">
        <f t="shared" si="30"/>
        <v>8631.1091693636008</v>
      </c>
      <c r="AV18" s="373">
        <f t="shared" si="31"/>
        <v>147603.76789400002</v>
      </c>
      <c r="AW18" s="377">
        <f t="shared" si="32"/>
        <v>4696.4835239000004</v>
      </c>
      <c r="AX18" s="373">
        <f t="shared" si="9"/>
        <v>8631.1091693636008</v>
      </c>
      <c r="AY18" s="373">
        <f t="shared" si="10"/>
        <v>161022.29224800001</v>
      </c>
      <c r="AZ18" s="377">
        <f t="shared" si="37"/>
        <v>4696.4835239000004</v>
      </c>
      <c r="BA18" s="373">
        <f t="shared" si="34"/>
        <v>8631.1091693636008</v>
      </c>
      <c r="BB18" s="371"/>
      <c r="BD18" s="358"/>
    </row>
    <row r="19" spans="1:56" s="233" customFormat="1" ht="30" customHeight="1" x14ac:dyDescent="0.45">
      <c r="A19" s="730"/>
      <c r="B19" s="461" t="s">
        <v>237</v>
      </c>
      <c r="C19" s="231">
        <v>450</v>
      </c>
      <c r="D19" s="234">
        <v>4996.0199999999995</v>
      </c>
      <c r="E19" s="234">
        <v>14988.06</v>
      </c>
      <c r="F19" s="234">
        <f t="shared" si="38"/>
        <v>19984.079999999998</v>
      </c>
      <c r="G19" s="233">
        <v>359</v>
      </c>
      <c r="H19" s="353">
        <f t="shared" si="35"/>
        <v>11606.4679</v>
      </c>
      <c r="I19" s="463">
        <v>0.5</v>
      </c>
      <c r="J19" s="362">
        <v>8300</v>
      </c>
      <c r="K19" s="361">
        <f t="shared" si="11"/>
        <v>8299.3987135266634</v>
      </c>
      <c r="L19" s="390">
        <v>8299.3987135266634</v>
      </c>
      <c r="M19" s="390">
        <f t="shared" si="12"/>
        <v>0</v>
      </c>
      <c r="N19" s="390"/>
      <c r="O19" s="390">
        <f t="shared" si="13"/>
        <v>0.60128647333658591</v>
      </c>
      <c r="P19" s="390">
        <f t="shared" si="0"/>
        <v>8924.084638200713</v>
      </c>
      <c r="Q19" s="372">
        <f t="shared" si="1"/>
        <v>78.972088139999997</v>
      </c>
      <c r="R19" s="373">
        <f t="shared" si="2"/>
        <v>11606.4679</v>
      </c>
      <c r="S19" s="374">
        <f t="shared" si="39"/>
        <v>1821.29358</v>
      </c>
      <c r="T19" s="373">
        <f t="shared" si="14"/>
        <v>9706.2022318599993</v>
      </c>
      <c r="U19" s="373">
        <f t="shared" si="15"/>
        <v>23212.935799999999</v>
      </c>
      <c r="V19" s="374">
        <f>H19*0.2</f>
        <v>2321.29358</v>
      </c>
      <c r="W19" s="373">
        <f t="shared" si="3"/>
        <v>9206.2022318599993</v>
      </c>
      <c r="X19" s="373">
        <f t="shared" si="4"/>
        <v>34819.403699999995</v>
      </c>
      <c r="Y19" s="376">
        <f>(X19-25000)*0.27+(25000-U19)*0.2</f>
        <v>3008.6518389999992</v>
      </c>
      <c r="Z19" s="373">
        <f t="shared" si="5"/>
        <v>8518.8439728599988</v>
      </c>
      <c r="AA19" s="373">
        <f t="shared" si="6"/>
        <v>46425.871599999999</v>
      </c>
      <c r="AB19" s="376">
        <f t="shared" si="7"/>
        <v>3133.746333</v>
      </c>
      <c r="AC19" s="373">
        <f t="shared" si="16"/>
        <v>8393.7494788599979</v>
      </c>
      <c r="AD19" s="373">
        <f t="shared" si="17"/>
        <v>58032.339500000002</v>
      </c>
      <c r="AE19" s="376">
        <f t="shared" si="18"/>
        <v>3133.746333</v>
      </c>
      <c r="AF19" s="373">
        <f t="shared" si="19"/>
        <v>8393.7494788599979</v>
      </c>
      <c r="AG19" s="373">
        <f t="shared" si="20"/>
        <v>69638.807399999991</v>
      </c>
      <c r="AH19" s="376">
        <f t="shared" si="41"/>
        <v>3133.746333</v>
      </c>
      <c r="AI19" s="373">
        <f t="shared" si="22"/>
        <v>8393.7494788599979</v>
      </c>
      <c r="AJ19" s="373">
        <f t="shared" si="23"/>
        <v>81245.275299999994</v>
      </c>
      <c r="AK19" s="376">
        <f t="shared" ref="AK19:AK26" si="42">H19*0.27</f>
        <v>3133.746333</v>
      </c>
      <c r="AL19" s="373">
        <f t="shared" si="24"/>
        <v>8393.7494788599979</v>
      </c>
      <c r="AM19" s="373">
        <f t="shared" si="8"/>
        <v>92851.743199999997</v>
      </c>
      <c r="AN19" s="377">
        <f>(AM19-88000)*0.35+(88000-AJ19)*0.27</f>
        <v>3521.8857890000008</v>
      </c>
      <c r="AO19" s="373">
        <f t="shared" si="25"/>
        <v>8005.610022859998</v>
      </c>
      <c r="AP19" s="373">
        <f t="shared" si="26"/>
        <v>104458.2111</v>
      </c>
      <c r="AQ19" s="377">
        <f>H19*0.35</f>
        <v>4062.2637649999997</v>
      </c>
      <c r="AR19" s="373">
        <f t="shared" si="27"/>
        <v>7465.2320468599992</v>
      </c>
      <c r="AS19" s="373">
        <f t="shared" si="28"/>
        <v>116064.679</v>
      </c>
      <c r="AT19" s="377">
        <f>H19*0.35</f>
        <v>4062.2637649999997</v>
      </c>
      <c r="AU19" s="373">
        <f t="shared" si="30"/>
        <v>7465.2320468599992</v>
      </c>
      <c r="AV19" s="373">
        <f t="shared" si="31"/>
        <v>127671.14689999999</v>
      </c>
      <c r="AW19" s="377">
        <f t="shared" si="32"/>
        <v>4062.2637649999997</v>
      </c>
      <c r="AX19" s="373">
        <f t="shared" si="9"/>
        <v>7465.2320468599992</v>
      </c>
      <c r="AY19" s="373">
        <f t="shared" si="10"/>
        <v>139277.61479999998</v>
      </c>
      <c r="AZ19" s="377">
        <f t="shared" si="37"/>
        <v>4062.2637649999997</v>
      </c>
      <c r="BA19" s="373">
        <f t="shared" si="34"/>
        <v>7465.2320468599992</v>
      </c>
      <c r="BB19" s="371"/>
      <c r="BD19" s="358"/>
    </row>
    <row r="20" spans="1:56" s="233" customFormat="1" ht="30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35"/>
        <v>10026.726375999999</v>
      </c>
      <c r="I20" s="463">
        <v>0.57999999999999996</v>
      </c>
      <c r="J20" s="362">
        <v>7300</v>
      </c>
      <c r="K20" s="361">
        <f t="shared" si="11"/>
        <v>7282.9930169850659</v>
      </c>
      <c r="L20" s="390">
        <v>7282.9930169850659</v>
      </c>
      <c r="M20" s="390">
        <f t="shared" si="12"/>
        <v>0</v>
      </c>
      <c r="N20" s="390"/>
      <c r="O20" s="390">
        <f t="shared" si="13"/>
        <v>17.006983014934121</v>
      </c>
      <c r="P20" s="390">
        <f t="shared" si="0"/>
        <v>7831.1752870807159</v>
      </c>
      <c r="Q20" s="372">
        <f t="shared" si="1"/>
        <v>68.545794081599993</v>
      </c>
      <c r="R20" s="373">
        <f t="shared" si="2"/>
        <v>10026.726375999999</v>
      </c>
      <c r="S20" s="374">
        <f t="shared" si="39"/>
        <v>1505.3452751999998</v>
      </c>
      <c r="T20" s="373">
        <f t="shared" si="14"/>
        <v>8452.8353067183998</v>
      </c>
      <c r="U20" s="373">
        <f t="shared" si="15"/>
        <v>20053.452751999997</v>
      </c>
      <c r="V20" s="374">
        <f>H20*0.2</f>
        <v>2005.3452751999998</v>
      </c>
      <c r="W20" s="373">
        <f t="shared" si="3"/>
        <v>7952.8353067183998</v>
      </c>
      <c r="X20" s="373">
        <f t="shared" si="4"/>
        <v>30080.179127999996</v>
      </c>
      <c r="Y20" s="376">
        <f>(X20-25000)*0.27+(25000-U20)*0.2</f>
        <v>2360.9578141599995</v>
      </c>
      <c r="Z20" s="373">
        <f t="shared" si="5"/>
        <v>7597.2227677583996</v>
      </c>
      <c r="AA20" s="373">
        <f t="shared" si="6"/>
        <v>40106.905503999995</v>
      </c>
      <c r="AB20" s="376">
        <f t="shared" si="7"/>
        <v>2707.2161215199999</v>
      </c>
      <c r="AC20" s="373">
        <f t="shared" si="16"/>
        <v>7250.9644603983998</v>
      </c>
      <c r="AD20" s="373">
        <f t="shared" si="17"/>
        <v>50133.631879999994</v>
      </c>
      <c r="AE20" s="376">
        <f t="shared" si="18"/>
        <v>2707.2161215199999</v>
      </c>
      <c r="AF20" s="373">
        <f t="shared" si="19"/>
        <v>7250.9644603983998</v>
      </c>
      <c r="AG20" s="373">
        <f t="shared" si="20"/>
        <v>60160.358255999992</v>
      </c>
      <c r="AH20" s="376">
        <f t="shared" si="41"/>
        <v>2707.2161215199999</v>
      </c>
      <c r="AI20" s="373">
        <f t="shared" si="22"/>
        <v>7250.9644603983998</v>
      </c>
      <c r="AJ20" s="373">
        <f t="shared" si="23"/>
        <v>70187.084631999984</v>
      </c>
      <c r="AK20" s="376">
        <f t="shared" si="42"/>
        <v>2707.2161215199999</v>
      </c>
      <c r="AL20" s="373">
        <f t="shared" si="24"/>
        <v>7250.9644603983998</v>
      </c>
      <c r="AM20" s="373">
        <f t="shared" si="8"/>
        <v>80213.81100799999</v>
      </c>
      <c r="AN20" s="376">
        <f t="shared" ref="AN20:AN27" si="43">H20*0.27</f>
        <v>2707.2161215199999</v>
      </c>
      <c r="AO20" s="373">
        <f t="shared" si="25"/>
        <v>7250.9644603983998</v>
      </c>
      <c r="AP20" s="373">
        <f t="shared" si="26"/>
        <v>90240.537383999996</v>
      </c>
      <c r="AQ20" s="377">
        <f>(AP20-88000)*0.35+(88000-AM20)*0.27</f>
        <v>2886.4591122400011</v>
      </c>
      <c r="AR20" s="373">
        <f t="shared" si="27"/>
        <v>7071.7214696783976</v>
      </c>
      <c r="AS20" s="373">
        <f t="shared" si="28"/>
        <v>100267.26375999999</v>
      </c>
      <c r="AT20" s="377">
        <f>H20*0.35</f>
        <v>3509.3542315999994</v>
      </c>
      <c r="AU20" s="373">
        <f t="shared" si="30"/>
        <v>6448.8263503183998</v>
      </c>
      <c r="AV20" s="373">
        <f t="shared" si="31"/>
        <v>110293.99013599998</v>
      </c>
      <c r="AW20" s="377">
        <f t="shared" si="32"/>
        <v>3509.3542315999994</v>
      </c>
      <c r="AX20" s="373">
        <f t="shared" si="9"/>
        <v>6448.8263503183998</v>
      </c>
      <c r="AY20" s="373">
        <f t="shared" si="10"/>
        <v>120320.71651199998</v>
      </c>
      <c r="AZ20" s="377">
        <f t="shared" si="37"/>
        <v>3509.3542315999994</v>
      </c>
      <c r="BA20" s="373">
        <f t="shared" si="34"/>
        <v>6448.8263503183998</v>
      </c>
      <c r="BB20" s="371"/>
      <c r="BD20" s="358"/>
    </row>
    <row r="21" spans="1:56" s="233" customFormat="1" ht="30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35"/>
        <v>9747.9484599999996</v>
      </c>
      <c r="I21" s="363">
        <v>0.55000000000000004</v>
      </c>
      <c r="J21" s="362">
        <v>7100</v>
      </c>
      <c r="K21" s="361">
        <f t="shared" si="11"/>
        <v>7103.627305830666</v>
      </c>
      <c r="L21" s="390">
        <v>7103.627305830666</v>
      </c>
      <c r="M21" s="390">
        <f t="shared" si="12"/>
        <v>0</v>
      </c>
      <c r="N21" s="390"/>
      <c r="O21" s="390">
        <f t="shared" si="13"/>
        <v>-3.6273058306660459</v>
      </c>
      <c r="P21" s="390">
        <f t="shared" si="0"/>
        <v>7638.3089310007153</v>
      </c>
      <c r="Q21" s="372">
        <f t="shared" si="1"/>
        <v>66.705859836000002</v>
      </c>
      <c r="R21" s="373">
        <f t="shared" si="2"/>
        <v>9747.9484599999996</v>
      </c>
      <c r="S21" s="378">
        <f>R21*0.15</f>
        <v>1462.1922689999999</v>
      </c>
      <c r="T21" s="373">
        <f t="shared" si="14"/>
        <v>8219.0503311640005</v>
      </c>
      <c r="U21" s="373">
        <f t="shared" si="15"/>
        <v>19495.896919999999</v>
      </c>
      <c r="V21" s="374">
        <f>(U21-10000)*0.2+(10000-R21)*0.15</f>
        <v>1936.9871150000001</v>
      </c>
      <c r="W21" s="373">
        <f t="shared" si="3"/>
        <v>7744.2554851639998</v>
      </c>
      <c r="X21" s="373">
        <f t="shared" si="4"/>
        <v>29243.845379999999</v>
      </c>
      <c r="Y21" s="376">
        <f>(X21-25000)*0.27+(25000-U21)*0.2</f>
        <v>2246.6588686</v>
      </c>
      <c r="Z21" s="373">
        <f t="shared" si="5"/>
        <v>7434.5837315640001</v>
      </c>
      <c r="AA21" s="373">
        <f t="shared" si="6"/>
        <v>38991.793839999998</v>
      </c>
      <c r="AB21" s="376">
        <f t="shared" si="7"/>
        <v>2631.9460841999999</v>
      </c>
      <c r="AC21" s="373">
        <f t="shared" si="16"/>
        <v>7049.2965159639998</v>
      </c>
      <c r="AD21" s="373">
        <f t="shared" si="17"/>
        <v>48739.742299999998</v>
      </c>
      <c r="AE21" s="376">
        <f t="shared" si="18"/>
        <v>2631.9460841999999</v>
      </c>
      <c r="AF21" s="373">
        <f t="shared" si="19"/>
        <v>7049.2965159639998</v>
      </c>
      <c r="AG21" s="373">
        <f t="shared" si="20"/>
        <v>58487.690759999998</v>
      </c>
      <c r="AH21" s="376">
        <f t="shared" si="41"/>
        <v>2631.9460841999999</v>
      </c>
      <c r="AI21" s="373">
        <f t="shared" si="22"/>
        <v>7049.2965159639998</v>
      </c>
      <c r="AJ21" s="373">
        <f t="shared" si="23"/>
        <v>68235.639219999997</v>
      </c>
      <c r="AK21" s="376">
        <f t="shared" si="42"/>
        <v>2631.9460841999999</v>
      </c>
      <c r="AL21" s="373">
        <f t="shared" si="24"/>
        <v>7049.2965159639998</v>
      </c>
      <c r="AM21" s="373">
        <f t="shared" si="8"/>
        <v>77983.587679999997</v>
      </c>
      <c r="AN21" s="376">
        <f t="shared" si="43"/>
        <v>2631.9460841999999</v>
      </c>
      <c r="AO21" s="373">
        <f t="shared" si="25"/>
        <v>7049.2965159639998</v>
      </c>
      <c r="AP21" s="373">
        <f t="shared" si="26"/>
        <v>87731.536139999997</v>
      </c>
      <c r="AQ21" s="376">
        <f t="shared" ref="AQ21:AQ27" si="44">H21*0.27</f>
        <v>2631.9460841999999</v>
      </c>
      <c r="AR21" s="373">
        <f t="shared" si="27"/>
        <v>7049.2965159639998</v>
      </c>
      <c r="AS21" s="373">
        <f t="shared" si="28"/>
        <v>97479.484599999996</v>
      </c>
      <c r="AT21" s="377">
        <f>(AS21-88000)*0.35+(88000-AP21)*0.27</f>
        <v>3390.3048521999995</v>
      </c>
      <c r="AU21" s="373">
        <f t="shared" si="30"/>
        <v>6290.9377479640007</v>
      </c>
      <c r="AV21" s="373">
        <f t="shared" si="31"/>
        <v>107227.43306</v>
      </c>
      <c r="AW21" s="377">
        <f t="shared" si="32"/>
        <v>3411.7819609999997</v>
      </c>
      <c r="AX21" s="373">
        <f t="shared" si="9"/>
        <v>6269.460639164</v>
      </c>
      <c r="AY21" s="373">
        <f t="shared" si="10"/>
        <v>116975.38152</v>
      </c>
      <c r="AZ21" s="377">
        <f t="shared" si="37"/>
        <v>3411.7819609999997</v>
      </c>
      <c r="BA21" s="373">
        <f t="shared" si="34"/>
        <v>6269.460639164</v>
      </c>
      <c r="BB21" s="371"/>
      <c r="BD21" s="358"/>
    </row>
    <row r="22" spans="1:56" s="233" customFormat="1" ht="30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35"/>
        <v>9376.2445719999996</v>
      </c>
      <c r="I22" s="463">
        <v>0.51</v>
      </c>
      <c r="J22" s="362">
        <v>6900</v>
      </c>
      <c r="K22" s="361">
        <f t="shared" si="11"/>
        <v>6864.4730242914638</v>
      </c>
      <c r="L22" s="390">
        <v>6864.4730242914638</v>
      </c>
      <c r="M22" s="390">
        <f t="shared" si="12"/>
        <v>0</v>
      </c>
      <c r="N22" s="390"/>
      <c r="O22" s="390">
        <f t="shared" si="13"/>
        <v>35.526975708536156</v>
      </c>
      <c r="P22" s="390">
        <f t="shared" si="0"/>
        <v>7381.1537895607134</v>
      </c>
      <c r="Q22" s="372">
        <f t="shared" si="1"/>
        <v>64.252614175199994</v>
      </c>
      <c r="R22" s="373">
        <f t="shared" si="2"/>
        <v>9376.2445719999996</v>
      </c>
      <c r="S22" s="378">
        <f>R22*0.15</f>
        <v>1406.4366857999999</v>
      </c>
      <c r="T22" s="373">
        <f t="shared" si="14"/>
        <v>7905.5552720247997</v>
      </c>
      <c r="U22" s="373">
        <f t="shared" si="15"/>
        <v>18752.489143999999</v>
      </c>
      <c r="V22" s="374">
        <f>(U22-10000)*0.2+(10000-R22)*0.15</f>
        <v>1844.0611430000001</v>
      </c>
      <c r="W22" s="373">
        <f t="shared" si="3"/>
        <v>7467.9308148247992</v>
      </c>
      <c r="X22" s="373">
        <f t="shared" si="4"/>
        <v>28128.733715999999</v>
      </c>
      <c r="Y22" s="376">
        <f>(X22-25000)*0.27+(25000-U22)*0.2</f>
        <v>2094.2602745200002</v>
      </c>
      <c r="Z22" s="373">
        <f t="shared" si="5"/>
        <v>7217.7316833047989</v>
      </c>
      <c r="AA22" s="373">
        <f t="shared" si="6"/>
        <v>37504.978287999998</v>
      </c>
      <c r="AB22" s="376">
        <f t="shared" si="7"/>
        <v>2531.5860344400003</v>
      </c>
      <c r="AC22" s="373">
        <f t="shared" si="16"/>
        <v>6780.4059233847984</v>
      </c>
      <c r="AD22" s="373">
        <f t="shared" si="17"/>
        <v>46881.222859999994</v>
      </c>
      <c r="AE22" s="376">
        <f t="shared" si="18"/>
        <v>2531.5860344400003</v>
      </c>
      <c r="AF22" s="373">
        <f t="shared" si="19"/>
        <v>6780.4059233847984</v>
      </c>
      <c r="AG22" s="373">
        <f t="shared" si="20"/>
        <v>56257.467431999998</v>
      </c>
      <c r="AH22" s="376">
        <f t="shared" si="41"/>
        <v>2531.5860344400003</v>
      </c>
      <c r="AI22" s="373">
        <f t="shared" si="22"/>
        <v>6780.4059233847984</v>
      </c>
      <c r="AJ22" s="373">
        <f t="shared" si="23"/>
        <v>65633.712004000001</v>
      </c>
      <c r="AK22" s="376">
        <f t="shared" si="42"/>
        <v>2531.5860344400003</v>
      </c>
      <c r="AL22" s="373">
        <f t="shared" si="24"/>
        <v>6780.4059233847984</v>
      </c>
      <c r="AM22" s="373">
        <f t="shared" si="8"/>
        <v>75009.956575999997</v>
      </c>
      <c r="AN22" s="376">
        <f t="shared" si="43"/>
        <v>2531.5860344400003</v>
      </c>
      <c r="AO22" s="373">
        <f t="shared" si="25"/>
        <v>6780.4059233847984</v>
      </c>
      <c r="AP22" s="373">
        <f t="shared" si="26"/>
        <v>84386.201147999993</v>
      </c>
      <c r="AQ22" s="376">
        <f t="shared" si="44"/>
        <v>2531.5860344400003</v>
      </c>
      <c r="AR22" s="373">
        <f t="shared" si="27"/>
        <v>6780.4059233847984</v>
      </c>
      <c r="AS22" s="373">
        <f t="shared" si="28"/>
        <v>93762.445719999989</v>
      </c>
      <c r="AT22" s="377">
        <f>(AS22-88000)*0.35+(88000-AP22)*0.27</f>
        <v>2992.581692039998</v>
      </c>
      <c r="AU22" s="373">
        <f t="shared" si="30"/>
        <v>6319.4102657848016</v>
      </c>
      <c r="AV22" s="373">
        <f t="shared" si="31"/>
        <v>103138.690292</v>
      </c>
      <c r="AW22" s="377">
        <f t="shared" si="32"/>
        <v>3281.6856001999995</v>
      </c>
      <c r="AX22" s="373">
        <f t="shared" si="9"/>
        <v>6030.3063576247996</v>
      </c>
      <c r="AY22" s="373">
        <f t="shared" si="10"/>
        <v>112514.934864</v>
      </c>
      <c r="AZ22" s="377">
        <f t="shared" si="37"/>
        <v>3281.6856001999995</v>
      </c>
      <c r="BA22" s="373">
        <f t="shared" si="34"/>
        <v>6030.3063576247996</v>
      </c>
      <c r="BB22" s="371"/>
      <c r="BD22" s="358"/>
    </row>
    <row r="23" spans="1:56" s="233" customFormat="1" ht="30" customHeight="1" x14ac:dyDescent="0.45">
      <c r="A23" s="730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35"/>
        <v>6309.6874959999996</v>
      </c>
      <c r="I23" s="464">
        <v>0.18</v>
      </c>
      <c r="J23" s="362">
        <v>4900</v>
      </c>
      <c r="K23" s="361">
        <f t="shared" si="11"/>
        <v>4809.5585346064008</v>
      </c>
      <c r="L23" s="390">
        <v>4809.5585346064008</v>
      </c>
      <c r="M23" s="390">
        <f t="shared" si="12"/>
        <v>0</v>
      </c>
      <c r="N23" s="390"/>
      <c r="O23" s="390">
        <f t="shared" si="13"/>
        <v>90.441465393599174</v>
      </c>
      <c r="P23" s="390">
        <f t="shared" si="0"/>
        <v>5171.5683167810757</v>
      </c>
      <c r="Q23" s="372">
        <f t="shared" si="1"/>
        <v>44.013337473599996</v>
      </c>
      <c r="R23" s="373">
        <f t="shared" si="2"/>
        <v>6309.6874959999996</v>
      </c>
      <c r="S23" s="378">
        <f>R23*0.15</f>
        <v>946.45312439999987</v>
      </c>
      <c r="T23" s="373">
        <f t="shared" si="14"/>
        <v>5319.2210341263999</v>
      </c>
      <c r="U23" s="373">
        <f t="shared" si="15"/>
        <v>12619.374991999999</v>
      </c>
      <c r="V23" s="374">
        <f>(U23-10000)*0.2+(10000-R23)*0.15</f>
        <v>1077.4218739999999</v>
      </c>
      <c r="W23" s="373">
        <f t="shared" si="3"/>
        <v>5188.2522845264002</v>
      </c>
      <c r="X23" s="373">
        <f t="shared" si="4"/>
        <v>18929.062488</v>
      </c>
      <c r="Y23" s="374">
        <f>H23*0.2</f>
        <v>1261.9374992</v>
      </c>
      <c r="Z23" s="373">
        <f t="shared" si="5"/>
        <v>5003.7366593263996</v>
      </c>
      <c r="AA23" s="373">
        <f t="shared" si="6"/>
        <v>25238.749983999998</v>
      </c>
      <c r="AB23" s="376">
        <f>(AA23-25000)*0.27+(25000-X23)*0.2</f>
        <v>1278.6499980799997</v>
      </c>
      <c r="AC23" s="373">
        <f t="shared" si="16"/>
        <v>4987.0241604463999</v>
      </c>
      <c r="AD23" s="373">
        <f t="shared" si="17"/>
        <v>31548.437479999997</v>
      </c>
      <c r="AE23" s="376">
        <f t="shared" si="18"/>
        <v>1703.61562392</v>
      </c>
      <c r="AF23" s="373">
        <f t="shared" si="19"/>
        <v>4562.0585346063999</v>
      </c>
      <c r="AG23" s="373">
        <f t="shared" si="20"/>
        <v>37858.124975999999</v>
      </c>
      <c r="AH23" s="376">
        <f t="shared" si="41"/>
        <v>1703.61562392</v>
      </c>
      <c r="AI23" s="373">
        <f t="shared" si="22"/>
        <v>4562.0585346063999</v>
      </c>
      <c r="AJ23" s="373">
        <f t="shared" si="23"/>
        <v>44167.812471999998</v>
      </c>
      <c r="AK23" s="376">
        <f t="shared" si="42"/>
        <v>1703.61562392</v>
      </c>
      <c r="AL23" s="373">
        <f t="shared" si="24"/>
        <v>4562.0585346063999</v>
      </c>
      <c r="AM23" s="373">
        <f t="shared" si="8"/>
        <v>50477.499967999996</v>
      </c>
      <c r="AN23" s="376">
        <f t="shared" si="43"/>
        <v>1703.61562392</v>
      </c>
      <c r="AO23" s="373">
        <f t="shared" si="25"/>
        <v>4562.0585346063999</v>
      </c>
      <c r="AP23" s="373">
        <f t="shared" si="26"/>
        <v>56787.187463999995</v>
      </c>
      <c r="AQ23" s="376">
        <f t="shared" si="44"/>
        <v>1703.61562392</v>
      </c>
      <c r="AR23" s="373">
        <f t="shared" si="27"/>
        <v>4562.0585346063999</v>
      </c>
      <c r="AS23" s="373">
        <f t="shared" si="28"/>
        <v>63096.874959999994</v>
      </c>
      <c r="AT23" s="376">
        <f>H23*0.27</f>
        <v>1703.61562392</v>
      </c>
      <c r="AU23" s="373">
        <f t="shared" si="30"/>
        <v>4562.0585346063999</v>
      </c>
      <c r="AV23" s="373">
        <f t="shared" si="31"/>
        <v>69406.562456</v>
      </c>
      <c r="AW23" s="376">
        <f>H23*0.27</f>
        <v>1703.61562392</v>
      </c>
      <c r="AX23" s="373">
        <f t="shared" si="9"/>
        <v>4562.0585346063999</v>
      </c>
      <c r="AY23" s="373">
        <f t="shared" si="10"/>
        <v>75716.249951999998</v>
      </c>
      <c r="AZ23" s="376">
        <f t="shared" ref="AZ23:AZ27" si="45">H23*0.27</f>
        <v>1703.61562392</v>
      </c>
      <c r="BA23" s="373">
        <f t="shared" si="34"/>
        <v>4562.0585346063999</v>
      </c>
      <c r="BB23" s="371"/>
      <c r="BD23" s="358"/>
    </row>
    <row r="24" spans="1:56" s="233" customFormat="1" ht="30" customHeight="1" x14ac:dyDescent="0.45">
      <c r="A24" s="731" t="s">
        <v>172</v>
      </c>
      <c r="B24" s="348" t="s">
        <v>282</v>
      </c>
      <c r="C24" s="317">
        <v>125</v>
      </c>
      <c r="D24" s="238">
        <v>3330.68</v>
      </c>
      <c r="E24" s="238">
        <v>4163.3499999999995</v>
      </c>
      <c r="F24" s="238">
        <f t="shared" ref="F24:F27" si="46">D24+E24</f>
        <v>7494.0299999999988</v>
      </c>
      <c r="G24" s="233">
        <v>359</v>
      </c>
      <c r="H24" s="353">
        <f t="shared" si="35"/>
        <v>6495.1231049999997</v>
      </c>
      <c r="I24" s="463">
        <v>0.91</v>
      </c>
      <c r="J24" s="362">
        <v>5000</v>
      </c>
      <c r="K24" s="361">
        <f t="shared" si="11"/>
        <v>4943.7026541570003</v>
      </c>
      <c r="L24" s="390">
        <v>4943.7026541570003</v>
      </c>
      <c r="M24" s="390">
        <f t="shared" si="12"/>
        <v>0</v>
      </c>
      <c r="N24" s="390"/>
      <c r="O24" s="390">
        <f t="shared" si="13"/>
        <v>56.297345842999675</v>
      </c>
      <c r="P24" s="390">
        <f t="shared" si="0"/>
        <v>5315.8093055451618</v>
      </c>
      <c r="Q24" s="372">
        <f t="shared" si="1"/>
        <v>45.237212492999994</v>
      </c>
      <c r="R24" s="373">
        <f t="shared" si="2"/>
        <v>6495.1231049999997</v>
      </c>
      <c r="S24" s="378">
        <f t="shared" ref="S24:S28" si="47">R24*0.15</f>
        <v>974.2684657499999</v>
      </c>
      <c r="T24" s="373">
        <f t="shared" si="14"/>
        <v>5475.6174267570004</v>
      </c>
      <c r="U24" s="373">
        <f t="shared" si="15"/>
        <v>12990.246209999999</v>
      </c>
      <c r="V24" s="374">
        <f>(U24-10000)*0.2+(10000-R24)*0.15</f>
        <v>1123.7807762499999</v>
      </c>
      <c r="W24" s="373">
        <f t="shared" si="3"/>
        <v>5326.1051162570002</v>
      </c>
      <c r="X24" s="373">
        <f t="shared" si="4"/>
        <v>19485.369315</v>
      </c>
      <c r="Y24" s="374">
        <f>H24*0.2</f>
        <v>1299.024621</v>
      </c>
      <c r="Z24" s="373">
        <f t="shared" si="5"/>
        <v>5150.8612715069994</v>
      </c>
      <c r="AA24" s="373">
        <f t="shared" si="6"/>
        <v>25980.492419999999</v>
      </c>
      <c r="AB24" s="376">
        <f>(AA24-25000)*0.27+(25000-X24)*0.2</f>
        <v>1367.6590903999997</v>
      </c>
      <c r="AC24" s="373">
        <f t="shared" si="16"/>
        <v>5082.2268021070004</v>
      </c>
      <c r="AD24" s="373">
        <f t="shared" si="17"/>
        <v>32475.615524999997</v>
      </c>
      <c r="AE24" s="376">
        <f t="shared" si="18"/>
        <v>1753.68323835</v>
      </c>
      <c r="AF24" s="373">
        <f t="shared" si="19"/>
        <v>4696.2026541569994</v>
      </c>
      <c r="AG24" s="373">
        <f t="shared" si="20"/>
        <v>38970.73863</v>
      </c>
      <c r="AH24" s="376">
        <f t="shared" si="41"/>
        <v>1753.68323835</v>
      </c>
      <c r="AI24" s="373">
        <f t="shared" si="22"/>
        <v>4696.2026541569994</v>
      </c>
      <c r="AJ24" s="373">
        <f t="shared" si="23"/>
        <v>45465.861734999999</v>
      </c>
      <c r="AK24" s="376">
        <f t="shared" si="42"/>
        <v>1753.68323835</v>
      </c>
      <c r="AL24" s="373">
        <f t="shared" si="24"/>
        <v>4696.2026541569994</v>
      </c>
      <c r="AM24" s="373">
        <f t="shared" si="8"/>
        <v>51960.984839999997</v>
      </c>
      <c r="AN24" s="376">
        <f t="shared" si="43"/>
        <v>1753.68323835</v>
      </c>
      <c r="AO24" s="373">
        <f t="shared" si="25"/>
        <v>4696.2026541569994</v>
      </c>
      <c r="AP24" s="373">
        <f t="shared" si="26"/>
        <v>58456.107944999996</v>
      </c>
      <c r="AQ24" s="376">
        <f t="shared" si="44"/>
        <v>1753.68323835</v>
      </c>
      <c r="AR24" s="373">
        <f t="shared" si="27"/>
        <v>4696.2026541569994</v>
      </c>
      <c r="AS24" s="373">
        <f t="shared" si="28"/>
        <v>64951.231049999995</v>
      </c>
      <c r="AT24" s="376">
        <f>H24*0.27</f>
        <v>1753.68323835</v>
      </c>
      <c r="AU24" s="373">
        <f t="shared" si="30"/>
        <v>4696.2026541569994</v>
      </c>
      <c r="AV24" s="373">
        <f t="shared" si="31"/>
        <v>71446.354154999994</v>
      </c>
      <c r="AW24" s="376">
        <f>H24*0.27</f>
        <v>1753.68323835</v>
      </c>
      <c r="AX24" s="373">
        <f t="shared" si="9"/>
        <v>4696.2026541569994</v>
      </c>
      <c r="AY24" s="373">
        <f t="shared" si="10"/>
        <v>77941.47726</v>
      </c>
      <c r="AZ24" s="376">
        <f t="shared" si="45"/>
        <v>1753.68323835</v>
      </c>
      <c r="BA24" s="373">
        <f t="shared" si="34"/>
        <v>4696.2026541569994</v>
      </c>
      <c r="BB24" s="371"/>
      <c r="BD24" s="358"/>
    </row>
    <row r="25" spans="1:56" s="233" customFormat="1" ht="30" customHeight="1" x14ac:dyDescent="0.45">
      <c r="A25" s="732"/>
      <c r="B25" s="348" t="s">
        <v>281</v>
      </c>
      <c r="C25" s="317">
        <v>125</v>
      </c>
      <c r="D25" s="238">
        <v>3330.68</v>
      </c>
      <c r="E25" s="238">
        <v>4163.3499999999995</v>
      </c>
      <c r="F25" s="238">
        <f t="shared" si="46"/>
        <v>7494.0299999999988</v>
      </c>
      <c r="G25" s="233">
        <v>359</v>
      </c>
      <c r="H25" s="353">
        <f t="shared" si="35"/>
        <v>5798.1783149999992</v>
      </c>
      <c r="I25" s="363">
        <v>0.73</v>
      </c>
      <c r="J25" s="362">
        <v>4500</v>
      </c>
      <c r="K25" s="361">
        <f>((T25+W25+Z25+AC25+AF25+AI25+AL25+AO25+AR25+AU25+AX25+BA25)/12)+60</f>
        <v>4439.5327930709982</v>
      </c>
      <c r="L25" s="390">
        <v>4497.2282059364989</v>
      </c>
      <c r="M25" s="390">
        <f t="shared" si="12"/>
        <v>57.695412865500657</v>
      </c>
      <c r="N25" s="390"/>
      <c r="O25" s="390">
        <f t="shared" si="13"/>
        <v>60.467206929001804</v>
      </c>
      <c r="P25" s="390">
        <f t="shared" si="0"/>
        <v>4773.6911753451595</v>
      </c>
      <c r="Q25" s="372">
        <f t="shared" si="1"/>
        <v>40.637376878999994</v>
      </c>
      <c r="R25" s="373">
        <f t="shared" si="2"/>
        <v>5798.1783149999992</v>
      </c>
      <c r="S25" s="378">
        <f t="shared" si="47"/>
        <v>869.7267472499999</v>
      </c>
      <c r="T25" s="373">
        <f t="shared" si="14"/>
        <v>4887.8141908709995</v>
      </c>
      <c r="U25" s="373">
        <f t="shared" si="15"/>
        <v>11596.356629999998</v>
      </c>
      <c r="V25" s="374">
        <f>(U25-10000)*0.2+(10000-R25)*0.15</f>
        <v>949.5445787499998</v>
      </c>
      <c r="W25" s="373">
        <f t="shared" si="3"/>
        <v>4807.9963593709999</v>
      </c>
      <c r="X25" s="373">
        <f t="shared" si="4"/>
        <v>17394.534944999999</v>
      </c>
      <c r="Y25" s="374">
        <f>H25*0.2</f>
        <v>1159.6356629999998</v>
      </c>
      <c r="Z25" s="373">
        <f t="shared" si="5"/>
        <v>4597.9052751209992</v>
      </c>
      <c r="AA25" s="373">
        <f t="shared" si="6"/>
        <v>23192.713259999997</v>
      </c>
      <c r="AB25" s="374">
        <f>H25*0.2</f>
        <v>1159.6356629999998</v>
      </c>
      <c r="AC25" s="373">
        <f t="shared" si="16"/>
        <v>4597.9052751209992</v>
      </c>
      <c r="AD25" s="373">
        <f t="shared" si="17"/>
        <v>28990.891574999994</v>
      </c>
      <c r="AE25" s="376">
        <f>(AD25-25000)*0.27+(25000-AA25)*0.2</f>
        <v>1438.9980732499992</v>
      </c>
      <c r="AF25" s="373">
        <f t="shared" si="19"/>
        <v>4318.5428648710003</v>
      </c>
      <c r="AG25" s="373">
        <f t="shared" si="20"/>
        <v>34789.069889999999</v>
      </c>
      <c r="AH25" s="376">
        <f t="shared" si="41"/>
        <v>1565.5081450499999</v>
      </c>
      <c r="AI25" s="373">
        <f t="shared" si="22"/>
        <v>4192.0327930709991</v>
      </c>
      <c r="AJ25" s="373">
        <f t="shared" si="23"/>
        <v>40587.248204999996</v>
      </c>
      <c r="AK25" s="376">
        <f t="shared" si="42"/>
        <v>1565.5081450499999</v>
      </c>
      <c r="AL25" s="373">
        <f t="shared" si="24"/>
        <v>4192.0327930709991</v>
      </c>
      <c r="AM25" s="373">
        <f t="shared" si="8"/>
        <v>46385.426519999994</v>
      </c>
      <c r="AN25" s="376">
        <f t="shared" si="43"/>
        <v>1565.5081450499999</v>
      </c>
      <c r="AO25" s="373">
        <f t="shared" si="25"/>
        <v>4192.0327930709991</v>
      </c>
      <c r="AP25" s="373">
        <f t="shared" si="26"/>
        <v>52183.604834999991</v>
      </c>
      <c r="AQ25" s="376">
        <f t="shared" si="44"/>
        <v>1565.5081450499999</v>
      </c>
      <c r="AR25" s="373">
        <f t="shared" si="27"/>
        <v>4192.0327930709991</v>
      </c>
      <c r="AS25" s="373">
        <f t="shared" si="28"/>
        <v>57981.783149999988</v>
      </c>
      <c r="AT25" s="376">
        <f>H25*0.27</f>
        <v>1565.5081450499999</v>
      </c>
      <c r="AU25" s="373">
        <f t="shared" si="30"/>
        <v>4192.0327930709991</v>
      </c>
      <c r="AV25" s="373">
        <f t="shared" si="31"/>
        <v>63779.961464999993</v>
      </c>
      <c r="AW25" s="376">
        <f>H25*0.27</f>
        <v>1565.5081450499999</v>
      </c>
      <c r="AX25" s="373">
        <f t="shared" si="9"/>
        <v>4192.0327930709991</v>
      </c>
      <c r="AY25" s="373">
        <f t="shared" si="10"/>
        <v>69578.139779999998</v>
      </c>
      <c r="AZ25" s="376">
        <f t="shared" si="45"/>
        <v>1565.5081450499999</v>
      </c>
      <c r="BA25" s="373">
        <f t="shared" si="34"/>
        <v>4192.0327930709991</v>
      </c>
      <c r="BB25" s="371"/>
      <c r="BD25" s="358"/>
    </row>
    <row r="26" spans="1:56" s="233" customFormat="1" ht="30" customHeight="1" x14ac:dyDescent="0.45">
      <c r="A26" s="732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46"/>
        <v>7494.0299999999988</v>
      </c>
      <c r="G26" s="233">
        <v>278</v>
      </c>
      <c r="H26" s="353">
        <f>D26+E26*$H$5*$I26-G26</f>
        <v>5066.0760599999994</v>
      </c>
      <c r="I26" s="391">
        <v>0.52</v>
      </c>
      <c r="J26" s="362">
        <v>4000</v>
      </c>
      <c r="K26" s="361">
        <f t="shared" si="11"/>
        <v>3910.4646218039993</v>
      </c>
      <c r="L26" s="390">
        <v>3910.4646218039993</v>
      </c>
      <c r="M26" s="390">
        <f t="shared" si="12"/>
        <v>0</v>
      </c>
      <c r="N26" s="390"/>
      <c r="O26" s="390">
        <f t="shared" si="13"/>
        <v>89.535378196000693</v>
      </c>
      <c r="P26" s="390">
        <f t="shared" si="0"/>
        <v>4204.8006686064509</v>
      </c>
      <c r="Q26" s="372">
        <f t="shared" si="1"/>
        <v>35.270901995999999</v>
      </c>
      <c r="R26" s="373">
        <f t="shared" si="2"/>
        <v>5066.0760599999994</v>
      </c>
      <c r="S26" s="378">
        <f t="shared" si="47"/>
        <v>759.91140899999994</v>
      </c>
      <c r="T26" s="373">
        <f t="shared" si="14"/>
        <v>4270.8937490039989</v>
      </c>
      <c r="U26" s="373">
        <f t="shared" si="15"/>
        <v>10132.152119999999</v>
      </c>
      <c r="V26" s="374">
        <f t="shared" ref="V26" si="48">(U26-10000)*0.2+(10000-R26)*0.15</f>
        <v>766.51901499999985</v>
      </c>
      <c r="W26" s="373">
        <f t="shared" si="3"/>
        <v>4264.2861430039993</v>
      </c>
      <c r="X26" s="373">
        <f t="shared" si="4"/>
        <v>15198.228179999998</v>
      </c>
      <c r="Y26" s="374">
        <f>H26*0.2</f>
        <v>1013.215212</v>
      </c>
      <c r="Z26" s="373">
        <f t="shared" si="5"/>
        <v>4017.5899460039991</v>
      </c>
      <c r="AA26" s="373">
        <f t="shared" si="6"/>
        <v>20264.304239999998</v>
      </c>
      <c r="AB26" s="374">
        <f>H26*0.2</f>
        <v>1013.215212</v>
      </c>
      <c r="AC26" s="373">
        <f t="shared" si="16"/>
        <v>4017.5899460039991</v>
      </c>
      <c r="AD26" s="373">
        <f t="shared" si="17"/>
        <v>25330.380299999997</v>
      </c>
      <c r="AE26" s="376">
        <f>(AD26-25000)*0.27+(25000-AA26)*0.2</f>
        <v>1036.3418329999997</v>
      </c>
      <c r="AF26" s="373">
        <f t="shared" si="19"/>
        <v>3994.4633250039997</v>
      </c>
      <c r="AG26" s="373">
        <f t="shared" si="20"/>
        <v>30396.456359999996</v>
      </c>
      <c r="AH26" s="376">
        <f t="shared" si="41"/>
        <v>1367.8405361999999</v>
      </c>
      <c r="AI26" s="373">
        <f t="shared" si="22"/>
        <v>3662.9646218039993</v>
      </c>
      <c r="AJ26" s="373">
        <f t="shared" si="23"/>
        <v>35462.532419999996</v>
      </c>
      <c r="AK26" s="376">
        <f t="shared" si="42"/>
        <v>1367.8405361999999</v>
      </c>
      <c r="AL26" s="373">
        <f t="shared" si="24"/>
        <v>3662.9646218039993</v>
      </c>
      <c r="AM26" s="373">
        <f t="shared" si="8"/>
        <v>40528.608479999995</v>
      </c>
      <c r="AN26" s="376">
        <f t="shared" si="43"/>
        <v>1367.8405361999999</v>
      </c>
      <c r="AO26" s="373">
        <f t="shared" si="25"/>
        <v>3662.9646218039993</v>
      </c>
      <c r="AP26" s="373">
        <f t="shared" si="26"/>
        <v>45594.684539999995</v>
      </c>
      <c r="AQ26" s="376">
        <f t="shared" si="44"/>
        <v>1367.8405361999999</v>
      </c>
      <c r="AR26" s="373">
        <f t="shared" si="27"/>
        <v>3662.9646218039993</v>
      </c>
      <c r="AS26" s="373">
        <f t="shared" si="28"/>
        <v>50660.760599999994</v>
      </c>
      <c r="AT26" s="376">
        <f>H26*0.27</f>
        <v>1367.8405361999999</v>
      </c>
      <c r="AU26" s="373">
        <f t="shared" si="30"/>
        <v>3662.9646218039993</v>
      </c>
      <c r="AV26" s="373">
        <f t="shared" si="31"/>
        <v>55726.836659999994</v>
      </c>
      <c r="AW26" s="376">
        <f>H26*0.27</f>
        <v>1367.8405361999999</v>
      </c>
      <c r="AX26" s="373">
        <f t="shared" si="9"/>
        <v>3662.9646218039993</v>
      </c>
      <c r="AY26" s="373">
        <f t="shared" si="10"/>
        <v>60792.912719999993</v>
      </c>
      <c r="AZ26" s="376">
        <f t="shared" si="45"/>
        <v>1367.8405361999999</v>
      </c>
      <c r="BA26" s="373">
        <f t="shared" si="34"/>
        <v>3662.9646218039993</v>
      </c>
      <c r="BB26" s="371"/>
      <c r="BD26" s="358"/>
    </row>
    <row r="27" spans="1:56" s="233" customFormat="1" ht="30" customHeight="1" x14ac:dyDescent="0.45">
      <c r="A27" s="733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46"/>
        <v>7494.0299999999988</v>
      </c>
      <c r="G27" s="233">
        <v>278</v>
      </c>
      <c r="H27" s="353">
        <f t="shared" si="35"/>
        <v>3749.6247899999998</v>
      </c>
      <c r="I27" s="391">
        <v>0.18</v>
      </c>
      <c r="J27" s="362">
        <v>3000</v>
      </c>
      <c r="K27" s="361">
        <f t="shared" si="11"/>
        <v>2958.1437730859993</v>
      </c>
      <c r="L27" s="390">
        <v>2958.1437730859993</v>
      </c>
      <c r="M27" s="390">
        <f t="shared" si="12"/>
        <v>0</v>
      </c>
      <c r="N27" s="390"/>
      <c r="O27" s="390">
        <f t="shared" si="13"/>
        <v>41.856226914000672</v>
      </c>
      <c r="P27" s="390">
        <f t="shared" si="0"/>
        <v>3180.7997560064509</v>
      </c>
      <c r="Q27" s="372">
        <f t="shared" si="1"/>
        <v>26.582323614</v>
      </c>
      <c r="R27" s="373">
        <f t="shared" si="2"/>
        <v>3749.6247899999998</v>
      </c>
      <c r="S27" s="378">
        <f t="shared" si="47"/>
        <v>562.44371849999993</v>
      </c>
      <c r="T27" s="373">
        <f t="shared" si="14"/>
        <v>3160.5987478859997</v>
      </c>
      <c r="U27" s="373">
        <f t="shared" si="15"/>
        <v>7499.2495799999997</v>
      </c>
      <c r="V27" s="378">
        <f>H27*0.15</f>
        <v>562.44371849999993</v>
      </c>
      <c r="W27" s="373">
        <f t="shared" si="3"/>
        <v>3160.5987478859997</v>
      </c>
      <c r="X27" s="373">
        <f t="shared" si="4"/>
        <v>11248.87437</v>
      </c>
      <c r="Y27" s="374">
        <f>(X27-10000)*0.2+(10000-U27)*0.15</f>
        <v>624.88743699999998</v>
      </c>
      <c r="Z27" s="373">
        <f t="shared" si="5"/>
        <v>3098.155029386</v>
      </c>
      <c r="AA27" s="373">
        <f t="shared" si="6"/>
        <v>14998.499159999999</v>
      </c>
      <c r="AB27" s="374">
        <f>H27*0.2</f>
        <v>749.92495800000006</v>
      </c>
      <c r="AC27" s="373">
        <f t="shared" si="16"/>
        <v>2973.1175083859998</v>
      </c>
      <c r="AD27" s="373">
        <f t="shared" si="17"/>
        <v>18748.123950000001</v>
      </c>
      <c r="AE27" s="374">
        <f>H27*0.2</f>
        <v>749.92495800000006</v>
      </c>
      <c r="AF27" s="373">
        <f t="shared" si="19"/>
        <v>2973.1175083859998</v>
      </c>
      <c r="AG27" s="373">
        <f t="shared" si="20"/>
        <v>22497.748739999999</v>
      </c>
      <c r="AH27" s="374">
        <f>H27*0.2</f>
        <v>749.92495800000006</v>
      </c>
      <c r="AI27" s="373">
        <f t="shared" si="22"/>
        <v>2973.1175083859998</v>
      </c>
      <c r="AJ27" s="373">
        <f t="shared" si="23"/>
        <v>26247.373529999997</v>
      </c>
      <c r="AK27" s="376">
        <f>(AJ27-25000)*0.27+(25000-AG27)*0.2</f>
        <v>837.24110509999946</v>
      </c>
      <c r="AL27" s="373">
        <f t="shared" si="24"/>
        <v>2885.8013612860004</v>
      </c>
      <c r="AM27" s="373">
        <f t="shared" si="8"/>
        <v>29996.998319999999</v>
      </c>
      <c r="AN27" s="376">
        <f t="shared" si="43"/>
        <v>1012.3986933</v>
      </c>
      <c r="AO27" s="373">
        <f t="shared" si="25"/>
        <v>2710.6437730859998</v>
      </c>
      <c r="AP27" s="373">
        <f t="shared" si="26"/>
        <v>33746.62311</v>
      </c>
      <c r="AQ27" s="376">
        <f t="shared" si="44"/>
        <v>1012.3986933</v>
      </c>
      <c r="AR27" s="373">
        <f t="shared" si="27"/>
        <v>2710.6437730859998</v>
      </c>
      <c r="AS27" s="373">
        <f t="shared" si="28"/>
        <v>37496.247900000002</v>
      </c>
      <c r="AT27" s="376">
        <f>H27*0.27</f>
        <v>1012.3986933</v>
      </c>
      <c r="AU27" s="373">
        <f t="shared" si="30"/>
        <v>2710.6437730859998</v>
      </c>
      <c r="AV27" s="373">
        <f t="shared" si="31"/>
        <v>41245.872689999997</v>
      </c>
      <c r="AW27" s="376">
        <f>H27*0.27</f>
        <v>1012.3986933</v>
      </c>
      <c r="AX27" s="373">
        <f t="shared" si="9"/>
        <v>2710.6437730859998</v>
      </c>
      <c r="AY27" s="373">
        <f t="shared" si="10"/>
        <v>44995.497479999998</v>
      </c>
      <c r="AZ27" s="376">
        <f t="shared" si="45"/>
        <v>1012.3986933</v>
      </c>
      <c r="BA27" s="373">
        <f t="shared" si="34"/>
        <v>2710.6437730859998</v>
      </c>
      <c r="BB27" s="371"/>
      <c r="BD27" s="358"/>
    </row>
    <row r="28" spans="1:56" s="233" customFormat="1" ht="28.5" x14ac:dyDescent="0.45">
      <c r="A28" s="754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35"/>
        <v>2223.6737480000002</v>
      </c>
      <c r="I28" s="391">
        <v>0.54</v>
      </c>
      <c r="J28" s="362">
        <v>1795</v>
      </c>
      <c r="K28" s="361">
        <f t="shared" si="11"/>
        <v>1854.2707893032</v>
      </c>
      <c r="L28" s="390">
        <v>1854.2707893032</v>
      </c>
      <c r="M28" s="390">
        <f t="shared" si="12"/>
        <v>0</v>
      </c>
      <c r="N28" s="390"/>
      <c r="O28" s="390">
        <f t="shared" si="13"/>
        <v>-59.27078930319999</v>
      </c>
      <c r="P28" s="390">
        <f t="shared" si="0"/>
        <v>1993.8395583905376</v>
      </c>
      <c r="Q28" s="372">
        <f t="shared" si="1"/>
        <v>16.511046736800001</v>
      </c>
      <c r="R28" s="373">
        <f t="shared" si="2"/>
        <v>2223.6737480000002</v>
      </c>
      <c r="S28" s="378">
        <f t="shared" si="47"/>
        <v>333.55106219999999</v>
      </c>
      <c r="T28" s="373">
        <f t="shared" si="14"/>
        <v>1873.6116390632003</v>
      </c>
      <c r="U28" s="373">
        <f t="shared" si="15"/>
        <v>4447.3474960000003</v>
      </c>
      <c r="V28" s="378">
        <f>H28*0.15</f>
        <v>333.55106219999999</v>
      </c>
      <c r="W28" s="373">
        <f t="shared" si="3"/>
        <v>1873.6116390632003</v>
      </c>
      <c r="X28" s="373">
        <f t="shared" si="4"/>
        <v>6671.0212440000005</v>
      </c>
      <c r="Y28" s="378">
        <f>H28*0.15</f>
        <v>333.55106219999999</v>
      </c>
      <c r="Z28" s="373">
        <f t="shared" si="5"/>
        <v>1873.6116390632003</v>
      </c>
      <c r="AA28" s="373">
        <f t="shared" si="6"/>
        <v>8894.6949920000006</v>
      </c>
      <c r="AB28" s="378">
        <f>H28*0.15</f>
        <v>333.55106219999999</v>
      </c>
      <c r="AC28" s="373">
        <f t="shared" si="16"/>
        <v>1873.6116390632003</v>
      </c>
      <c r="AD28" s="373">
        <f t="shared" si="17"/>
        <v>11118.368740000002</v>
      </c>
      <c r="AE28" s="374">
        <f>(AD28-10000)*0.2+(10000-AA28)*0.15</f>
        <v>389.46949920000026</v>
      </c>
      <c r="AF28" s="373">
        <f t="shared" si="19"/>
        <v>1817.6932020632</v>
      </c>
      <c r="AG28" s="373">
        <f t="shared" si="20"/>
        <v>13342.042488000001</v>
      </c>
      <c r="AH28" s="374">
        <f>H28*0.2</f>
        <v>444.73474960000004</v>
      </c>
      <c r="AI28" s="373">
        <f t="shared" si="22"/>
        <v>1762.4279516632002</v>
      </c>
      <c r="AJ28" s="373">
        <f t="shared" si="23"/>
        <v>15565.716236</v>
      </c>
      <c r="AK28" s="374">
        <f>H28*0.2</f>
        <v>444.73474960000004</v>
      </c>
      <c r="AL28" s="373">
        <f t="shared" si="24"/>
        <v>1762.4279516632002</v>
      </c>
      <c r="AM28" s="373">
        <f t="shared" si="8"/>
        <v>17789.389984000001</v>
      </c>
      <c r="AN28" s="374">
        <f>H28*0.2</f>
        <v>444.73474960000004</v>
      </c>
      <c r="AO28" s="373">
        <f t="shared" si="25"/>
        <v>1762.4279516632002</v>
      </c>
      <c r="AP28" s="373">
        <f t="shared" si="26"/>
        <v>20013.063732000002</v>
      </c>
      <c r="AQ28" s="374">
        <f>H28*0.2</f>
        <v>444.73474960000004</v>
      </c>
      <c r="AR28" s="373">
        <f t="shared" si="27"/>
        <v>1762.4279516632002</v>
      </c>
      <c r="AS28" s="373">
        <f t="shared" si="28"/>
        <v>22236.737480000003</v>
      </c>
      <c r="AT28" s="374">
        <f>H28*0.2</f>
        <v>444.73474960000004</v>
      </c>
      <c r="AU28" s="373">
        <f t="shared" si="30"/>
        <v>1762.4279516632002</v>
      </c>
      <c r="AV28" s="373">
        <f t="shared" si="31"/>
        <v>24460.411228000001</v>
      </c>
      <c r="AW28" s="374">
        <f>H28*0.2</f>
        <v>444.73474960000004</v>
      </c>
      <c r="AX28" s="373">
        <f t="shared" si="9"/>
        <v>1762.4279516632002</v>
      </c>
      <c r="AY28" s="373">
        <f t="shared" si="10"/>
        <v>26684.084976000002</v>
      </c>
      <c r="AZ28" s="376">
        <f>(AY28-25000)*0.27+(25000-AV28)*0.2</f>
        <v>562.62069792000034</v>
      </c>
      <c r="BA28" s="373">
        <f t="shared" si="34"/>
        <v>1644.5420033431999</v>
      </c>
      <c r="BB28" s="371"/>
      <c r="BD28" s="358"/>
    </row>
    <row r="29" spans="1:56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0.94</v>
      </c>
      <c r="I29" s="363"/>
      <c r="J29" s="233"/>
      <c r="K29" s="361"/>
      <c r="L29" s="390"/>
      <c r="M29" s="390"/>
      <c r="N29" s="390"/>
      <c r="O29" s="390"/>
      <c r="P29" s="390"/>
      <c r="Q29" s="372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5"/>
      <c r="BD29" s="358"/>
    </row>
    <row r="30" spans="1:56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49">D30+E30</f>
        <v>24980.1</v>
      </c>
      <c r="G30" s="233">
        <v>359</v>
      </c>
      <c r="H30" s="353">
        <f>D30+E30*$H$29*$I30-G30</f>
        <v>17035.143231999999</v>
      </c>
      <c r="I30" s="477">
        <v>0.66</v>
      </c>
      <c r="J30" s="362">
        <v>11900</v>
      </c>
      <c r="K30" s="361">
        <f t="shared" si="11"/>
        <v>11792.208422135467</v>
      </c>
      <c r="L30" s="390">
        <v>11550.482589181869</v>
      </c>
      <c r="M30" s="390">
        <f t="shared" ref="M30:M54" si="50">L30-K30</f>
        <v>-241.725832953598</v>
      </c>
      <c r="N30" s="390"/>
      <c r="O30" s="390">
        <f t="shared" si="13"/>
        <v>107.79157786453288</v>
      </c>
      <c r="P30" s="390">
        <f>K30/0.94</f>
        <v>12544.90257673986</v>
      </c>
      <c r="Q30" s="372">
        <f t="shared" ref="Q30:Q54" si="51">(H30+G30)*0.0066</f>
        <v>114.8013453312</v>
      </c>
      <c r="R30" s="373">
        <f t="shared" ref="R30:R54" si="52">$H30*R$4</f>
        <v>17035.143231999999</v>
      </c>
      <c r="S30" s="374">
        <f t="shared" ref="S30:S42" si="53">(R30-10000)*0.2+10000*0.15</f>
        <v>2907.0286464000001</v>
      </c>
      <c r="T30" s="373">
        <f>H30-Q30-S30</f>
        <v>14013.313240268797</v>
      </c>
      <c r="U30" s="373">
        <f>H30*2</f>
        <v>34070.286463999997</v>
      </c>
      <c r="V30" s="376">
        <f>(U30-25000)*0.27+(25000-R30)*0.2</f>
        <v>4041.9486988799999</v>
      </c>
      <c r="W30" s="373">
        <f>H30-Q30-V30</f>
        <v>12878.393187788797</v>
      </c>
      <c r="X30" s="373">
        <f>H30*3</f>
        <v>51105.429695999992</v>
      </c>
      <c r="Y30" s="376">
        <f t="shared" ref="Y30:Y33" si="54">R30*0.27</f>
        <v>4599.48867264</v>
      </c>
      <c r="Z30" s="373">
        <f>H30-Q30-Y30</f>
        <v>12320.853214028797</v>
      </c>
      <c r="AA30" s="373">
        <f>H30*4</f>
        <v>68140.572927999994</v>
      </c>
      <c r="AB30" s="376">
        <f t="shared" ref="AB30:AB37" si="55">H30*0.27</f>
        <v>4599.48867264</v>
      </c>
      <c r="AC30" s="373">
        <f>H30-Q30-AB30</f>
        <v>12320.853214028797</v>
      </c>
      <c r="AD30" s="373">
        <f>H30*5</f>
        <v>85175.716159999996</v>
      </c>
      <c r="AE30" s="376">
        <f t="shared" ref="AE30:AE50" si="56">H30*0.27</f>
        <v>4599.48867264</v>
      </c>
      <c r="AF30" s="373">
        <f>H30-Q30-AE30</f>
        <v>12320.853214028797</v>
      </c>
      <c r="AG30" s="373">
        <f>H30*6</f>
        <v>102210.85939199998</v>
      </c>
      <c r="AH30" s="377">
        <f>(AG30-88000)*0.35+(88000-AD30)*0.27</f>
        <v>5736.3574239999953</v>
      </c>
      <c r="AI30" s="373">
        <f>H30-Q30-AH30</f>
        <v>11183.984462668803</v>
      </c>
      <c r="AJ30" s="373">
        <f>H30*7</f>
        <v>119246.00262399999</v>
      </c>
      <c r="AK30" s="377">
        <f>H30*0.35</f>
        <v>5962.3001311999988</v>
      </c>
      <c r="AL30" s="373">
        <f>H30-Q30-AK30</f>
        <v>10958.041755468799</v>
      </c>
      <c r="AM30" s="373">
        <f>H30*8</f>
        <v>136281.14585599999</v>
      </c>
      <c r="AN30" s="377">
        <f>H30*0.35</f>
        <v>5962.3001311999988</v>
      </c>
      <c r="AO30" s="373">
        <f>H30-Q30-AN30</f>
        <v>10958.041755468799</v>
      </c>
      <c r="AP30" s="373">
        <f>H30*9</f>
        <v>153316.28908799999</v>
      </c>
      <c r="AQ30" s="377">
        <f>H30*0.35</f>
        <v>5962.3001311999988</v>
      </c>
      <c r="AR30" s="373">
        <f>H30-Q30-AQ30</f>
        <v>10958.041755468799</v>
      </c>
      <c r="AS30" s="373">
        <f>H30*10</f>
        <v>170351.43231999999</v>
      </c>
      <c r="AT30" s="377">
        <f>H30*0.35</f>
        <v>5962.3001311999988</v>
      </c>
      <c r="AU30" s="373">
        <f>H30-Q30-AT30</f>
        <v>10958.041755468799</v>
      </c>
      <c r="AV30" s="373">
        <f>H30*11</f>
        <v>187386.57555199999</v>
      </c>
      <c r="AW30" s="377">
        <f t="shared" ref="AW30:AW37" si="57">H30*0.35</f>
        <v>5962.3001311999988</v>
      </c>
      <c r="AX30" s="373">
        <f>H30-Q30-AW30</f>
        <v>10958.041755468799</v>
      </c>
      <c r="AY30" s="373">
        <f>H30*12</f>
        <v>204421.71878399997</v>
      </c>
      <c r="AZ30" s="377">
        <f t="shared" ref="AZ30:AZ37" si="58">H30*0.35</f>
        <v>5962.3001311999988</v>
      </c>
      <c r="BA30" s="373">
        <f t="shared" ref="BA30:BA54" si="59">H30-Q30-AZ30</f>
        <v>10958.041755468799</v>
      </c>
      <c r="BB30" s="292"/>
      <c r="BD30" s="358"/>
    </row>
    <row r="31" spans="1:56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49"/>
        <v>24980.1</v>
      </c>
      <c r="G31" s="233">
        <v>359</v>
      </c>
      <c r="H31" s="353">
        <f t="shared" ref="H31:H54" si="60">D31+E31*$H$29*$I31-G31</f>
        <v>11023.931968000001</v>
      </c>
      <c r="I31" s="477">
        <v>0.34</v>
      </c>
      <c r="J31" s="362">
        <v>8000</v>
      </c>
      <c r="K31" s="361">
        <f t="shared" si="11"/>
        <v>7924.5950948778691</v>
      </c>
      <c r="L31" s="390">
        <v>7803.7321784010674</v>
      </c>
      <c r="M31" s="390">
        <f t="shared" si="50"/>
        <v>-120.86291647680173</v>
      </c>
      <c r="N31" s="390"/>
      <c r="O31" s="390">
        <f t="shared" si="13"/>
        <v>75.404905122130913</v>
      </c>
      <c r="P31" s="390">
        <f t="shared" ref="P31:P54" si="61">K31/0.94</f>
        <v>8430.4203136998603</v>
      </c>
      <c r="Q31" s="372">
        <f t="shared" si="51"/>
        <v>75.127350988800004</v>
      </c>
      <c r="R31" s="373">
        <f t="shared" si="52"/>
        <v>11023.931968000001</v>
      </c>
      <c r="S31" s="374">
        <f t="shared" si="53"/>
        <v>1704.7863936000001</v>
      </c>
      <c r="T31" s="373">
        <f t="shared" ref="T31:T54" si="62">H31-Q31-S31</f>
        <v>9244.0182234112017</v>
      </c>
      <c r="U31" s="373">
        <f t="shared" ref="U31:U54" si="63">H31*2</f>
        <v>22047.863936000002</v>
      </c>
      <c r="V31" s="374">
        <f>H31*0.2</f>
        <v>2204.7863936000003</v>
      </c>
      <c r="W31" s="373">
        <f t="shared" ref="W31:W54" si="64">H31-Q31-V31</f>
        <v>8744.0182234111999</v>
      </c>
      <c r="X31" s="373">
        <f t="shared" ref="X31:X54" si="65">H31*3</f>
        <v>33071.795903999999</v>
      </c>
      <c r="Y31" s="376">
        <f>(X31-25000)*0.27+(25000-U31)*0.2</f>
        <v>2769.8121068799996</v>
      </c>
      <c r="Z31" s="373">
        <f t="shared" ref="Z31:Z54" si="66">H31-Q31-Y31</f>
        <v>8178.9925101312019</v>
      </c>
      <c r="AA31" s="373">
        <f t="shared" ref="AA31:AA54" si="67">H31*4</f>
        <v>44095.727872000003</v>
      </c>
      <c r="AB31" s="376">
        <f t="shared" si="55"/>
        <v>2976.4616313600004</v>
      </c>
      <c r="AC31" s="373">
        <f t="shared" ref="AC31:AC54" si="68">H31-Q31-AB31</f>
        <v>7972.3429856512012</v>
      </c>
      <c r="AD31" s="373">
        <f t="shared" ref="AD31:AD54" si="69">H31*5</f>
        <v>55119.659840000008</v>
      </c>
      <c r="AE31" s="376">
        <f t="shared" si="56"/>
        <v>2976.4616313600004</v>
      </c>
      <c r="AF31" s="373">
        <f t="shared" ref="AF31:AF54" si="70">H31-Q31-AE31</f>
        <v>7972.3429856512012</v>
      </c>
      <c r="AG31" s="373">
        <f t="shared" ref="AG31:AG54" si="71">H31*6</f>
        <v>66143.591807999997</v>
      </c>
      <c r="AH31" s="376">
        <f t="shared" ref="AH31:AH38" si="72">H31*0.27</f>
        <v>2976.4616313600004</v>
      </c>
      <c r="AI31" s="373">
        <f t="shared" ref="AI31:AI54" si="73">H31-Q31-AH31</f>
        <v>7972.3429856512012</v>
      </c>
      <c r="AJ31" s="373">
        <f t="shared" ref="AJ31:AJ54" si="74">H31*7</f>
        <v>77167.523776000002</v>
      </c>
      <c r="AK31" s="376">
        <f>H31*0.27</f>
        <v>2976.4616313600004</v>
      </c>
      <c r="AL31" s="373">
        <f t="shared" ref="AL31:AL54" si="75">H31-Q31-AK31</f>
        <v>7972.3429856512012</v>
      </c>
      <c r="AM31" s="373">
        <f t="shared" ref="AM31:AM54" si="76">H31*8</f>
        <v>88191.455744000006</v>
      </c>
      <c r="AN31" s="376">
        <f>H31*0.27</f>
        <v>2976.4616313600004</v>
      </c>
      <c r="AO31" s="373">
        <f t="shared" ref="AO31:AO54" si="77">H31-Q31-AN31</f>
        <v>7972.3429856512012</v>
      </c>
      <c r="AP31" s="373">
        <f t="shared" ref="AP31:AP54" si="78">H31*9</f>
        <v>99215.387712000011</v>
      </c>
      <c r="AQ31" s="377">
        <f>(AP31-88000)*0.35+(88000-AM31)*0.27</f>
        <v>3873.6926483200018</v>
      </c>
      <c r="AR31" s="373">
        <f t="shared" ref="AR31:AR54" si="79">H31-Q31-AQ31</f>
        <v>7075.1119686911989</v>
      </c>
      <c r="AS31" s="373">
        <f t="shared" ref="AS31:AS54" si="80">H31*10</f>
        <v>110239.31968000002</v>
      </c>
      <c r="AT31" s="377">
        <f>H31*0.35</f>
        <v>3858.3761887999999</v>
      </c>
      <c r="AU31" s="373">
        <f t="shared" ref="AU31:AU54" si="81">H31-Q31-AT31</f>
        <v>7090.4284282112012</v>
      </c>
      <c r="AV31" s="373">
        <f t="shared" ref="AV31:AV54" si="82">H31*11</f>
        <v>121263.251648</v>
      </c>
      <c r="AW31" s="377">
        <f t="shared" si="57"/>
        <v>3858.3761887999999</v>
      </c>
      <c r="AX31" s="373">
        <f t="shared" ref="AX31:AX54" si="83">H31-Q31-AW31</f>
        <v>7090.4284282112012</v>
      </c>
      <c r="AY31" s="373">
        <f t="shared" ref="AY31:AY54" si="84">H31*12</f>
        <v>132287.18361599999</v>
      </c>
      <c r="AZ31" s="377">
        <f t="shared" si="58"/>
        <v>3858.3761887999999</v>
      </c>
      <c r="BA31" s="373">
        <f t="shared" si="59"/>
        <v>7090.4284282112012</v>
      </c>
      <c r="BB31" s="292"/>
      <c r="BD31" s="358"/>
    </row>
    <row r="32" spans="1:56" ht="28.5" x14ac:dyDescent="0.45">
      <c r="A32" s="716"/>
      <c r="B32" s="461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60"/>
        <v>9333.2788</v>
      </c>
      <c r="I32" s="363">
        <v>0.25</v>
      </c>
      <c r="J32" s="362">
        <v>6844</v>
      </c>
      <c r="K32" s="361">
        <f t="shared" si="11"/>
        <v>6836.8288465866681</v>
      </c>
      <c r="L32" s="390">
        <v>6836.8288465866681</v>
      </c>
      <c r="M32" s="390">
        <f t="shared" si="50"/>
        <v>0</v>
      </c>
      <c r="N32" s="390"/>
      <c r="O32" s="390">
        <f t="shared" si="13"/>
        <v>7.1711534133319219</v>
      </c>
      <c r="P32" s="390">
        <f t="shared" si="61"/>
        <v>7273.22217721986</v>
      </c>
      <c r="Q32" s="372">
        <f t="shared" si="51"/>
        <v>63.969040079999999</v>
      </c>
      <c r="R32" s="373">
        <f t="shared" si="52"/>
        <v>9333.2788</v>
      </c>
      <c r="S32" s="378">
        <f t="shared" ref="S32" si="85">R32*0.15</f>
        <v>1399.99182</v>
      </c>
      <c r="T32" s="373">
        <f t="shared" si="62"/>
        <v>7869.3179399200008</v>
      </c>
      <c r="U32" s="373">
        <f t="shared" si="63"/>
        <v>18666.5576</v>
      </c>
      <c r="V32" s="374">
        <f t="shared" ref="V32" si="86">(U32-10000)*0.2+(10000-R32)*0.15</f>
        <v>1833.3197000000002</v>
      </c>
      <c r="W32" s="373">
        <f t="shared" si="64"/>
        <v>7435.9900599200009</v>
      </c>
      <c r="X32" s="373">
        <f t="shared" si="65"/>
        <v>27999.8364</v>
      </c>
      <c r="Y32" s="376">
        <f>(X32-25000)*0.27+(25000-U32)*0.2</f>
        <v>2076.6443079999999</v>
      </c>
      <c r="Z32" s="373">
        <f t="shared" si="66"/>
        <v>7192.665451920001</v>
      </c>
      <c r="AA32" s="373">
        <f t="shared" si="67"/>
        <v>37333.1152</v>
      </c>
      <c r="AB32" s="376">
        <f t="shared" si="55"/>
        <v>2519.9852760000003</v>
      </c>
      <c r="AC32" s="373">
        <f t="shared" si="68"/>
        <v>6749.3244839200006</v>
      </c>
      <c r="AD32" s="373">
        <f t="shared" si="69"/>
        <v>46666.394</v>
      </c>
      <c r="AE32" s="376">
        <f t="shared" si="56"/>
        <v>2519.9852760000003</v>
      </c>
      <c r="AF32" s="373">
        <f t="shared" si="70"/>
        <v>6749.3244839200006</v>
      </c>
      <c r="AG32" s="373">
        <f t="shared" si="71"/>
        <v>55999.6728</v>
      </c>
      <c r="AH32" s="376">
        <f t="shared" si="72"/>
        <v>2519.9852760000003</v>
      </c>
      <c r="AI32" s="373">
        <f t="shared" si="73"/>
        <v>6749.3244839200006</v>
      </c>
      <c r="AJ32" s="373">
        <f t="shared" si="74"/>
        <v>65332.9516</v>
      </c>
      <c r="AK32" s="376">
        <f>H32*0.27</f>
        <v>2519.9852760000003</v>
      </c>
      <c r="AL32" s="373">
        <f t="shared" si="75"/>
        <v>6749.3244839200006</v>
      </c>
      <c r="AM32" s="373">
        <f t="shared" si="76"/>
        <v>74666.2304</v>
      </c>
      <c r="AN32" s="376">
        <f>H32*0.27</f>
        <v>2519.9852760000003</v>
      </c>
      <c r="AO32" s="373">
        <f t="shared" si="77"/>
        <v>6749.3244839200006</v>
      </c>
      <c r="AP32" s="373">
        <f t="shared" si="78"/>
        <v>83999.5092</v>
      </c>
      <c r="AQ32" s="376">
        <f>H32*0.27</f>
        <v>2519.9852760000003</v>
      </c>
      <c r="AR32" s="373">
        <f t="shared" si="79"/>
        <v>6749.3244839200006</v>
      </c>
      <c r="AS32" s="373">
        <f t="shared" si="80"/>
        <v>93332.788</v>
      </c>
      <c r="AT32" s="377">
        <f>(AS32-88000)*0.35+(88000-AP32)*0.27</f>
        <v>2946.6083159999998</v>
      </c>
      <c r="AU32" s="373">
        <f t="shared" si="81"/>
        <v>6322.7014439200011</v>
      </c>
      <c r="AV32" s="373">
        <f t="shared" si="82"/>
        <v>102666.0668</v>
      </c>
      <c r="AW32" s="377">
        <f t="shared" si="57"/>
        <v>3266.6475799999998</v>
      </c>
      <c r="AX32" s="373">
        <f t="shared" si="83"/>
        <v>6002.6621799200011</v>
      </c>
      <c r="AY32" s="373">
        <f t="shared" si="84"/>
        <v>111999.3456</v>
      </c>
      <c r="AZ32" s="377">
        <f t="shared" si="58"/>
        <v>3266.6475799999998</v>
      </c>
      <c r="BA32" s="373">
        <f t="shared" si="59"/>
        <v>6002.6621799200011</v>
      </c>
      <c r="BB32" s="292"/>
      <c r="BD32" s="358"/>
    </row>
    <row r="33" spans="1:56" ht="28.5" x14ac:dyDescent="0.45">
      <c r="A33" s="716"/>
      <c r="B33" s="347" t="s">
        <v>32</v>
      </c>
      <c r="C33" s="283">
        <v>450</v>
      </c>
      <c r="D33" s="238">
        <v>4996.0199999999995</v>
      </c>
      <c r="E33" s="238">
        <v>14988.06</v>
      </c>
      <c r="F33" s="238">
        <f t="shared" si="49"/>
        <v>19984.079999999998</v>
      </c>
      <c r="G33" s="233">
        <v>359</v>
      </c>
      <c r="H33" s="353">
        <f t="shared" si="60"/>
        <v>13372.061367999999</v>
      </c>
      <c r="I33" s="477">
        <v>0.62</v>
      </c>
      <c r="J33" s="362">
        <v>9500</v>
      </c>
      <c r="K33" s="361">
        <f t="shared" si="11"/>
        <v>9435.3815508378684</v>
      </c>
      <c r="L33" s="390">
        <v>9254.0871761226681</v>
      </c>
      <c r="M33" s="390">
        <f t="shared" si="50"/>
        <v>-181.29437471520032</v>
      </c>
      <c r="N33" s="390"/>
      <c r="O33" s="390">
        <f t="shared" si="13"/>
        <v>64.618449162131583</v>
      </c>
      <c r="P33" s="390">
        <f t="shared" si="61"/>
        <v>10037.639947699861</v>
      </c>
      <c r="Q33" s="372">
        <f t="shared" si="51"/>
        <v>90.62500502879999</v>
      </c>
      <c r="R33" s="373">
        <f t="shared" si="52"/>
        <v>13372.061367999999</v>
      </c>
      <c r="S33" s="374">
        <f t="shared" si="53"/>
        <v>2174.4122735999999</v>
      </c>
      <c r="T33" s="373">
        <f t="shared" si="62"/>
        <v>11107.0240893712</v>
      </c>
      <c r="U33" s="373">
        <f t="shared" si="63"/>
        <v>26744.122735999998</v>
      </c>
      <c r="V33" s="376">
        <f>(U33-25000)*0.27+(25000-R33)*0.2</f>
        <v>2796.5008651200001</v>
      </c>
      <c r="W33" s="373">
        <f t="shared" si="64"/>
        <v>10484.935497851198</v>
      </c>
      <c r="X33" s="373">
        <f t="shared" si="65"/>
        <v>40116.184104</v>
      </c>
      <c r="Y33" s="376">
        <f t="shared" si="54"/>
        <v>3610.4565693599998</v>
      </c>
      <c r="Z33" s="373">
        <f t="shared" si="66"/>
        <v>9670.9797936111991</v>
      </c>
      <c r="AA33" s="373">
        <f t="shared" si="67"/>
        <v>53488.245471999995</v>
      </c>
      <c r="AB33" s="376">
        <f t="shared" si="55"/>
        <v>3610.4565693599998</v>
      </c>
      <c r="AC33" s="373">
        <f t="shared" si="68"/>
        <v>9670.9797936111991</v>
      </c>
      <c r="AD33" s="373">
        <f t="shared" si="69"/>
        <v>66860.30683999999</v>
      </c>
      <c r="AE33" s="376">
        <f t="shared" si="56"/>
        <v>3610.4565693599998</v>
      </c>
      <c r="AF33" s="373">
        <f t="shared" si="70"/>
        <v>9670.9797936111991</v>
      </c>
      <c r="AG33" s="373">
        <f t="shared" si="71"/>
        <v>80232.368208</v>
      </c>
      <c r="AH33" s="376">
        <f t="shared" si="72"/>
        <v>3610.4565693599998</v>
      </c>
      <c r="AI33" s="373">
        <f t="shared" si="73"/>
        <v>9670.9797936111991</v>
      </c>
      <c r="AJ33" s="373">
        <f t="shared" si="74"/>
        <v>93604.429575999995</v>
      </c>
      <c r="AK33" s="377">
        <f>(AJ33-88000)*0.35+(88000-AG33)*0.27</f>
        <v>4058.810935439998</v>
      </c>
      <c r="AL33" s="373">
        <f t="shared" si="75"/>
        <v>9222.6254275312003</v>
      </c>
      <c r="AM33" s="373">
        <f t="shared" si="76"/>
        <v>106976.49094399999</v>
      </c>
      <c r="AN33" s="377">
        <f>H33*0.35</f>
        <v>4680.2214787999992</v>
      </c>
      <c r="AO33" s="373">
        <f t="shared" si="77"/>
        <v>8601.2148841712005</v>
      </c>
      <c r="AP33" s="373">
        <f t="shared" si="78"/>
        <v>120348.55231199999</v>
      </c>
      <c r="AQ33" s="377">
        <f>H33*0.35</f>
        <v>4680.2214787999992</v>
      </c>
      <c r="AR33" s="373">
        <f t="shared" si="79"/>
        <v>8601.2148841712005</v>
      </c>
      <c r="AS33" s="373">
        <f t="shared" si="80"/>
        <v>133720.61367999998</v>
      </c>
      <c r="AT33" s="377">
        <f>H33*0.35</f>
        <v>4680.2214787999992</v>
      </c>
      <c r="AU33" s="373">
        <f t="shared" si="81"/>
        <v>8601.2148841712005</v>
      </c>
      <c r="AV33" s="373">
        <f t="shared" si="82"/>
        <v>147092.67504799998</v>
      </c>
      <c r="AW33" s="377">
        <f t="shared" si="57"/>
        <v>4680.2214787999992</v>
      </c>
      <c r="AX33" s="373">
        <f t="shared" si="83"/>
        <v>8601.2148841712005</v>
      </c>
      <c r="AY33" s="373">
        <f t="shared" si="84"/>
        <v>160464.736416</v>
      </c>
      <c r="AZ33" s="377">
        <f t="shared" si="58"/>
        <v>4680.2214787999992</v>
      </c>
      <c r="BA33" s="373">
        <f t="shared" si="59"/>
        <v>8601.2148841712005</v>
      </c>
      <c r="BB33" s="292"/>
      <c r="BD33" s="358"/>
    </row>
    <row r="34" spans="1:56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49"/>
        <v>19984.079999999998</v>
      </c>
      <c r="G34" s="233">
        <v>359</v>
      </c>
      <c r="H34" s="353">
        <f t="shared" si="60"/>
        <v>11540.520435999999</v>
      </c>
      <c r="I34" s="477">
        <v>0.49</v>
      </c>
      <c r="J34" s="362">
        <v>8300</v>
      </c>
      <c r="K34" s="361">
        <f t="shared" si="11"/>
        <v>8256.9681151890672</v>
      </c>
      <c r="L34" s="390">
        <v>8166.3209278314671</v>
      </c>
      <c r="M34" s="390">
        <f t="shared" si="50"/>
        <v>-90.64718735760016</v>
      </c>
      <c r="N34" s="390"/>
      <c r="O34" s="390">
        <f t="shared" si="13"/>
        <v>43.031884810932752</v>
      </c>
      <c r="P34" s="390">
        <f t="shared" si="61"/>
        <v>8784.0086331798593</v>
      </c>
      <c r="Q34" s="372">
        <f t="shared" si="51"/>
        <v>78.536834877599986</v>
      </c>
      <c r="R34" s="373">
        <f t="shared" si="52"/>
        <v>11540.520435999999</v>
      </c>
      <c r="S34" s="374">
        <f t="shared" si="53"/>
        <v>1808.1040871999999</v>
      </c>
      <c r="T34" s="373">
        <f t="shared" si="62"/>
        <v>9653.8795139224003</v>
      </c>
      <c r="U34" s="373">
        <f t="shared" si="63"/>
        <v>23081.040871999998</v>
      </c>
      <c r="V34" s="376">
        <f>R34*0.2</f>
        <v>2308.1040871999999</v>
      </c>
      <c r="W34" s="373">
        <f t="shared" si="64"/>
        <v>9153.8795139224003</v>
      </c>
      <c r="X34" s="373">
        <f t="shared" si="65"/>
        <v>34621.561307999997</v>
      </c>
      <c r="Y34" s="376">
        <f>(X34-25000)*0.27+(25000-U34)*0.2</f>
        <v>2981.6133787600002</v>
      </c>
      <c r="Z34" s="373">
        <f t="shared" si="66"/>
        <v>8480.3702223623986</v>
      </c>
      <c r="AA34" s="373">
        <f t="shared" si="67"/>
        <v>46162.081743999996</v>
      </c>
      <c r="AB34" s="376">
        <f t="shared" si="55"/>
        <v>3115.9405177200001</v>
      </c>
      <c r="AC34" s="373">
        <f t="shared" si="68"/>
        <v>8346.0430834023991</v>
      </c>
      <c r="AD34" s="373">
        <f t="shared" si="69"/>
        <v>57702.602179999994</v>
      </c>
      <c r="AE34" s="376">
        <f t="shared" si="56"/>
        <v>3115.9405177200001</v>
      </c>
      <c r="AF34" s="373">
        <f t="shared" si="70"/>
        <v>8346.0430834023991</v>
      </c>
      <c r="AG34" s="373">
        <f t="shared" si="71"/>
        <v>69243.122615999993</v>
      </c>
      <c r="AH34" s="376">
        <f t="shared" si="72"/>
        <v>3115.9405177200001</v>
      </c>
      <c r="AI34" s="373">
        <f t="shared" si="73"/>
        <v>8346.0430834023991</v>
      </c>
      <c r="AJ34" s="373">
        <f t="shared" si="74"/>
        <v>80783.643051999999</v>
      </c>
      <c r="AK34" s="376">
        <f>H34*0.27</f>
        <v>3115.9405177200001</v>
      </c>
      <c r="AL34" s="373">
        <f t="shared" si="75"/>
        <v>8346.0430834023991</v>
      </c>
      <c r="AM34" s="373">
        <f t="shared" si="76"/>
        <v>92324.163487999991</v>
      </c>
      <c r="AN34" s="377">
        <f>(AM34-88000)*0.35+(88000-AJ34)*0.27</f>
        <v>3461.8735967599969</v>
      </c>
      <c r="AO34" s="373">
        <f t="shared" si="77"/>
        <v>8000.1100043624028</v>
      </c>
      <c r="AP34" s="373">
        <f t="shared" si="78"/>
        <v>103864.68392399998</v>
      </c>
      <c r="AQ34" s="377">
        <f>H34*0.35</f>
        <v>4039.1821525999994</v>
      </c>
      <c r="AR34" s="373">
        <f t="shared" si="79"/>
        <v>7422.8014485224003</v>
      </c>
      <c r="AS34" s="373">
        <f t="shared" si="80"/>
        <v>115405.20435999999</v>
      </c>
      <c r="AT34" s="377">
        <f>H34*0.35</f>
        <v>4039.1821525999994</v>
      </c>
      <c r="AU34" s="373">
        <f t="shared" si="81"/>
        <v>7422.8014485224003</v>
      </c>
      <c r="AV34" s="373">
        <f t="shared" si="82"/>
        <v>126945.72479599999</v>
      </c>
      <c r="AW34" s="377">
        <f t="shared" si="57"/>
        <v>4039.1821525999994</v>
      </c>
      <c r="AX34" s="373">
        <f t="shared" si="83"/>
        <v>7422.8014485224003</v>
      </c>
      <c r="AY34" s="373">
        <f t="shared" si="84"/>
        <v>138486.24523199999</v>
      </c>
      <c r="AZ34" s="377">
        <f t="shared" si="58"/>
        <v>4039.1821525999994</v>
      </c>
      <c r="BA34" s="373">
        <f t="shared" si="59"/>
        <v>7422.8014485224003</v>
      </c>
      <c r="BB34" s="292"/>
      <c r="BD34" s="358"/>
    </row>
    <row r="35" spans="1:56" ht="28.5" x14ac:dyDescent="0.45">
      <c r="A35" s="716"/>
      <c r="B35" s="461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49"/>
        <v>14988.059999999998</v>
      </c>
      <c r="G35" s="233">
        <v>359</v>
      </c>
      <c r="H35" s="353">
        <f t="shared" si="60"/>
        <v>9990.7550319999973</v>
      </c>
      <c r="I35" s="477">
        <v>0.56999999999999995</v>
      </c>
      <c r="J35" s="362">
        <v>7300</v>
      </c>
      <c r="K35" s="361">
        <f t="shared" si="11"/>
        <v>7259.8490542554619</v>
      </c>
      <c r="L35" s="390">
        <v>7138.9861377786683</v>
      </c>
      <c r="M35" s="390">
        <f t="shared" si="50"/>
        <v>-120.86291647679354</v>
      </c>
      <c r="N35" s="390"/>
      <c r="O35" s="390">
        <f t="shared" si="13"/>
        <v>40.150945744538149</v>
      </c>
      <c r="P35" s="390">
        <f t="shared" si="61"/>
        <v>7723.2436747398533</v>
      </c>
      <c r="Q35" s="372">
        <f t="shared" si="51"/>
        <v>68.308383211199981</v>
      </c>
      <c r="R35" s="373">
        <f t="shared" si="52"/>
        <v>9990.7550319999973</v>
      </c>
      <c r="S35" s="378">
        <f t="shared" ref="S35:S38" si="87">R35*0.15</f>
        <v>1498.6132547999996</v>
      </c>
      <c r="T35" s="373">
        <f t="shared" si="62"/>
        <v>8423.8333939887962</v>
      </c>
      <c r="U35" s="373">
        <f t="shared" si="63"/>
        <v>19981.510063999995</v>
      </c>
      <c r="V35" s="374">
        <f t="shared" ref="V35:V38" si="88">(U35-10000)*0.2+(10000-R35)*0.15</f>
        <v>1997.6887579999993</v>
      </c>
      <c r="W35" s="373">
        <f t="shared" si="64"/>
        <v>7924.7578907887973</v>
      </c>
      <c r="X35" s="373">
        <f t="shared" si="65"/>
        <v>29972.265095999992</v>
      </c>
      <c r="Y35" s="376">
        <f>(X35-25000)*0.27+(25000-U35)*0.2</f>
        <v>2346.2095631199991</v>
      </c>
      <c r="Z35" s="373">
        <f t="shared" si="66"/>
        <v>7576.2370856687976</v>
      </c>
      <c r="AA35" s="373">
        <f t="shared" si="67"/>
        <v>39963.020127999989</v>
      </c>
      <c r="AB35" s="376">
        <f t="shared" si="55"/>
        <v>2697.5038586399996</v>
      </c>
      <c r="AC35" s="373">
        <f t="shared" si="68"/>
        <v>7224.942790148797</v>
      </c>
      <c r="AD35" s="373">
        <f t="shared" si="69"/>
        <v>49953.77515999999</v>
      </c>
      <c r="AE35" s="376">
        <f t="shared" si="56"/>
        <v>2697.5038586399996</v>
      </c>
      <c r="AF35" s="373">
        <f t="shared" si="70"/>
        <v>7224.942790148797</v>
      </c>
      <c r="AG35" s="373">
        <f t="shared" si="71"/>
        <v>59944.530191999984</v>
      </c>
      <c r="AH35" s="376">
        <f t="shared" si="72"/>
        <v>2697.5038586399996</v>
      </c>
      <c r="AI35" s="373">
        <f t="shared" si="73"/>
        <v>7224.942790148797</v>
      </c>
      <c r="AJ35" s="373">
        <f t="shared" si="74"/>
        <v>69935.285223999977</v>
      </c>
      <c r="AK35" s="376">
        <f>H35*0.27</f>
        <v>2697.5038586399996</v>
      </c>
      <c r="AL35" s="373">
        <f t="shared" si="75"/>
        <v>7224.942790148797</v>
      </c>
      <c r="AM35" s="373">
        <f t="shared" si="76"/>
        <v>79926.040255999978</v>
      </c>
      <c r="AN35" s="376">
        <f>H35*0.27</f>
        <v>2697.5038586399996</v>
      </c>
      <c r="AO35" s="373">
        <f t="shared" si="77"/>
        <v>7224.942790148797</v>
      </c>
      <c r="AP35" s="373">
        <f t="shared" si="78"/>
        <v>89916.795287999979</v>
      </c>
      <c r="AQ35" s="377">
        <f>(AP35-88000)*0.35+(88000-AM35)*0.27</f>
        <v>2850.847481679999</v>
      </c>
      <c r="AR35" s="373">
        <f t="shared" si="79"/>
        <v>7071.5991671087977</v>
      </c>
      <c r="AS35" s="373">
        <f t="shared" si="80"/>
        <v>99907.55031999998</v>
      </c>
      <c r="AT35" s="377">
        <f>H35*0.35</f>
        <v>3496.7642611999991</v>
      </c>
      <c r="AU35" s="373">
        <f t="shared" si="81"/>
        <v>6425.6823875887976</v>
      </c>
      <c r="AV35" s="373">
        <f t="shared" si="82"/>
        <v>109898.30535199997</v>
      </c>
      <c r="AW35" s="377">
        <f t="shared" si="57"/>
        <v>3496.7642611999991</v>
      </c>
      <c r="AX35" s="373">
        <f t="shared" si="83"/>
        <v>6425.6823875887976</v>
      </c>
      <c r="AY35" s="373">
        <f t="shared" si="84"/>
        <v>119889.06038399997</v>
      </c>
      <c r="AZ35" s="377">
        <f t="shared" si="58"/>
        <v>3496.7642611999991</v>
      </c>
      <c r="BA35" s="373">
        <f t="shared" si="59"/>
        <v>6425.6823875887976</v>
      </c>
      <c r="BB35" s="292"/>
      <c r="BD35" s="358"/>
    </row>
    <row r="36" spans="1:56" ht="28.5" x14ac:dyDescent="0.45">
      <c r="A36" s="716"/>
      <c r="B36" s="461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49"/>
        <v>14988.059999999998</v>
      </c>
      <c r="G36" s="233">
        <v>359</v>
      </c>
      <c r="H36" s="353">
        <f t="shared" si="60"/>
        <v>9802.9046799999996</v>
      </c>
      <c r="I36" s="363">
        <v>0.55000000000000004</v>
      </c>
      <c r="J36" s="362">
        <v>7100</v>
      </c>
      <c r="K36" s="361">
        <f t="shared" si="11"/>
        <v>7138.9861377786683</v>
      </c>
      <c r="L36" s="390">
        <v>7138.9861377786683</v>
      </c>
      <c r="M36" s="390">
        <f t="shared" si="50"/>
        <v>0</v>
      </c>
      <c r="N36" s="390"/>
      <c r="O36" s="390">
        <f t="shared" si="13"/>
        <v>-38.986137778668308</v>
      </c>
      <c r="P36" s="390">
        <f t="shared" si="61"/>
        <v>7594.6661040198605</v>
      </c>
      <c r="Q36" s="372">
        <f t="shared" si="51"/>
        <v>67.068570887999996</v>
      </c>
      <c r="R36" s="373">
        <f t="shared" si="52"/>
        <v>9802.9046799999996</v>
      </c>
      <c r="S36" s="378">
        <f t="shared" si="87"/>
        <v>1470.435702</v>
      </c>
      <c r="T36" s="373">
        <f t="shared" si="62"/>
        <v>8265.4004071119998</v>
      </c>
      <c r="U36" s="373">
        <f t="shared" si="63"/>
        <v>19605.809359999999</v>
      </c>
      <c r="V36" s="374">
        <f t="shared" si="88"/>
        <v>1950.7261699999999</v>
      </c>
      <c r="W36" s="373">
        <f t="shared" si="64"/>
        <v>7785.1099391120006</v>
      </c>
      <c r="X36" s="373">
        <f t="shared" si="65"/>
        <v>29408.714039999999</v>
      </c>
      <c r="Y36" s="376">
        <f>(X36-25000)*0.27+(25000-U36)*0.2</f>
        <v>2269.1909188</v>
      </c>
      <c r="Z36" s="373">
        <f t="shared" si="66"/>
        <v>7466.6451903120005</v>
      </c>
      <c r="AA36" s="373">
        <f t="shared" si="67"/>
        <v>39211.618719999999</v>
      </c>
      <c r="AB36" s="376">
        <f t="shared" si="55"/>
        <v>2646.7842636</v>
      </c>
      <c r="AC36" s="373">
        <f t="shared" si="68"/>
        <v>7089.051845512</v>
      </c>
      <c r="AD36" s="373">
        <f t="shared" si="69"/>
        <v>49014.523399999998</v>
      </c>
      <c r="AE36" s="376">
        <f t="shared" si="56"/>
        <v>2646.7842636</v>
      </c>
      <c r="AF36" s="373">
        <f t="shared" si="70"/>
        <v>7089.051845512</v>
      </c>
      <c r="AG36" s="373">
        <f t="shared" si="71"/>
        <v>58817.428079999998</v>
      </c>
      <c r="AH36" s="376">
        <f t="shared" si="72"/>
        <v>2646.7842636</v>
      </c>
      <c r="AI36" s="373">
        <f t="shared" si="73"/>
        <v>7089.051845512</v>
      </c>
      <c r="AJ36" s="373">
        <f t="shared" si="74"/>
        <v>68620.33275999999</v>
      </c>
      <c r="AK36" s="376">
        <f>H36*0.27</f>
        <v>2646.7842636</v>
      </c>
      <c r="AL36" s="373">
        <f t="shared" si="75"/>
        <v>7089.051845512</v>
      </c>
      <c r="AM36" s="373">
        <f t="shared" si="76"/>
        <v>78423.237439999997</v>
      </c>
      <c r="AN36" s="376">
        <f>H36*0.27</f>
        <v>2646.7842636</v>
      </c>
      <c r="AO36" s="373">
        <f t="shared" si="77"/>
        <v>7089.051845512</v>
      </c>
      <c r="AP36" s="373">
        <f t="shared" si="78"/>
        <v>88226.142120000004</v>
      </c>
      <c r="AQ36" s="377">
        <f>(AP36-88000)*0.35+(88000-AM36)*0.27</f>
        <v>2664.8756332000025</v>
      </c>
      <c r="AR36" s="373">
        <f t="shared" si="79"/>
        <v>7070.9604759119975</v>
      </c>
      <c r="AS36" s="373">
        <f t="shared" si="80"/>
        <v>98029.046799999996</v>
      </c>
      <c r="AT36" s="377">
        <f>H36*0.35</f>
        <v>3431.0166379999996</v>
      </c>
      <c r="AU36" s="373">
        <f t="shared" si="81"/>
        <v>6304.8194711120013</v>
      </c>
      <c r="AV36" s="373">
        <f t="shared" si="82"/>
        <v>107831.95147999999</v>
      </c>
      <c r="AW36" s="377">
        <f t="shared" si="57"/>
        <v>3431.0166379999996</v>
      </c>
      <c r="AX36" s="373">
        <f t="shared" si="83"/>
        <v>6304.8194711120013</v>
      </c>
      <c r="AY36" s="373">
        <f t="shared" si="84"/>
        <v>117634.85616</v>
      </c>
      <c r="AZ36" s="377">
        <f t="shared" si="58"/>
        <v>3431.0166379999996</v>
      </c>
      <c r="BA36" s="373">
        <f t="shared" si="59"/>
        <v>6304.8194711120013</v>
      </c>
      <c r="BB36" s="292"/>
      <c r="BD36" s="358"/>
    </row>
    <row r="37" spans="1:56" ht="28.5" x14ac:dyDescent="0.45">
      <c r="A37" s="716"/>
      <c r="B37" s="461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49"/>
        <v>14988.059999999998</v>
      </c>
      <c r="G37" s="233">
        <v>359</v>
      </c>
      <c r="H37" s="353">
        <f t="shared" si="60"/>
        <v>9333.2788</v>
      </c>
      <c r="I37" s="363">
        <v>0.5</v>
      </c>
      <c r="J37" s="362">
        <v>6900</v>
      </c>
      <c r="K37" s="361">
        <f t="shared" si="11"/>
        <v>6836.8288465866681</v>
      </c>
      <c r="L37" s="390">
        <v>6836.8288465866681</v>
      </c>
      <c r="M37" s="390">
        <f t="shared" si="50"/>
        <v>0</v>
      </c>
      <c r="N37" s="390"/>
      <c r="O37" s="390">
        <f t="shared" si="13"/>
        <v>63.171153413331922</v>
      </c>
      <c r="P37" s="390">
        <f t="shared" si="61"/>
        <v>7273.22217721986</v>
      </c>
      <c r="Q37" s="372">
        <f t="shared" si="51"/>
        <v>63.969040079999999</v>
      </c>
      <c r="R37" s="373">
        <f t="shared" si="52"/>
        <v>9333.2788</v>
      </c>
      <c r="S37" s="378">
        <f t="shared" si="87"/>
        <v>1399.99182</v>
      </c>
      <c r="T37" s="373">
        <f t="shared" si="62"/>
        <v>7869.3179399200008</v>
      </c>
      <c r="U37" s="373">
        <f t="shared" si="63"/>
        <v>18666.5576</v>
      </c>
      <c r="V37" s="374">
        <f t="shared" si="88"/>
        <v>1833.3197000000002</v>
      </c>
      <c r="W37" s="373">
        <f t="shared" si="64"/>
        <v>7435.9900599200009</v>
      </c>
      <c r="X37" s="373">
        <f t="shared" si="65"/>
        <v>27999.8364</v>
      </c>
      <c r="Y37" s="376">
        <f>(X37-25000)*0.27+(25000-U37)*0.2</f>
        <v>2076.6443079999999</v>
      </c>
      <c r="Z37" s="373">
        <f t="shared" si="66"/>
        <v>7192.665451920001</v>
      </c>
      <c r="AA37" s="373">
        <f t="shared" si="67"/>
        <v>37333.1152</v>
      </c>
      <c r="AB37" s="376">
        <f t="shared" si="55"/>
        <v>2519.9852760000003</v>
      </c>
      <c r="AC37" s="373">
        <f t="shared" si="68"/>
        <v>6749.3244839200006</v>
      </c>
      <c r="AD37" s="373">
        <f t="shared" si="69"/>
        <v>46666.394</v>
      </c>
      <c r="AE37" s="376">
        <f t="shared" si="56"/>
        <v>2519.9852760000003</v>
      </c>
      <c r="AF37" s="373">
        <f t="shared" si="70"/>
        <v>6749.3244839200006</v>
      </c>
      <c r="AG37" s="373">
        <f t="shared" si="71"/>
        <v>55999.6728</v>
      </c>
      <c r="AH37" s="376">
        <f t="shared" si="72"/>
        <v>2519.9852760000003</v>
      </c>
      <c r="AI37" s="373">
        <f t="shared" si="73"/>
        <v>6749.3244839200006</v>
      </c>
      <c r="AJ37" s="373">
        <f t="shared" si="74"/>
        <v>65332.9516</v>
      </c>
      <c r="AK37" s="376">
        <f>H37*0.27</f>
        <v>2519.9852760000003</v>
      </c>
      <c r="AL37" s="373">
        <f t="shared" si="75"/>
        <v>6749.3244839200006</v>
      </c>
      <c r="AM37" s="373">
        <f t="shared" si="76"/>
        <v>74666.2304</v>
      </c>
      <c r="AN37" s="376">
        <f>H37*0.27</f>
        <v>2519.9852760000003</v>
      </c>
      <c r="AO37" s="373">
        <f t="shared" si="77"/>
        <v>6749.3244839200006</v>
      </c>
      <c r="AP37" s="373">
        <f t="shared" si="78"/>
        <v>83999.5092</v>
      </c>
      <c r="AQ37" s="376">
        <f>H37*0.27</f>
        <v>2519.9852760000003</v>
      </c>
      <c r="AR37" s="373">
        <f t="shared" si="79"/>
        <v>6749.3244839200006</v>
      </c>
      <c r="AS37" s="373">
        <f t="shared" si="80"/>
        <v>93332.788</v>
      </c>
      <c r="AT37" s="377">
        <f>(AS37-88000)*0.35+(88000-AP37)*0.27</f>
        <v>2946.6083159999998</v>
      </c>
      <c r="AU37" s="373">
        <f t="shared" si="81"/>
        <v>6322.7014439200011</v>
      </c>
      <c r="AV37" s="373">
        <f t="shared" si="82"/>
        <v>102666.0668</v>
      </c>
      <c r="AW37" s="377">
        <f t="shared" si="57"/>
        <v>3266.6475799999998</v>
      </c>
      <c r="AX37" s="373">
        <f t="shared" si="83"/>
        <v>6002.6621799200011</v>
      </c>
      <c r="AY37" s="373">
        <f t="shared" si="84"/>
        <v>111999.3456</v>
      </c>
      <c r="AZ37" s="377">
        <f t="shared" si="58"/>
        <v>3266.6475799999998</v>
      </c>
      <c r="BA37" s="373">
        <f t="shared" si="59"/>
        <v>6002.6621799200011</v>
      </c>
      <c r="BB37" s="292"/>
      <c r="BD37" s="358"/>
    </row>
    <row r="38" spans="1:56" ht="28.5" x14ac:dyDescent="0.45">
      <c r="A38" s="716"/>
      <c r="B38" s="392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49"/>
        <v>14988.059999999998</v>
      </c>
      <c r="G38" s="233">
        <v>359</v>
      </c>
      <c r="H38" s="353">
        <f t="shared" si="60"/>
        <v>6421.5983439999991</v>
      </c>
      <c r="I38" s="391">
        <v>0.19</v>
      </c>
      <c r="J38" s="362">
        <v>4900</v>
      </c>
      <c r="K38" s="361">
        <f t="shared" si="11"/>
        <v>4890.514842049598</v>
      </c>
      <c r="L38" s="390">
        <v>4890.514842049598</v>
      </c>
      <c r="M38" s="390">
        <f t="shared" si="50"/>
        <v>0</v>
      </c>
      <c r="N38" s="390"/>
      <c r="O38" s="390">
        <f t="shared" si="13"/>
        <v>9.4851579504020265</v>
      </c>
      <c r="P38" s="390">
        <f t="shared" si="61"/>
        <v>5202.6753638825512</v>
      </c>
      <c r="Q38" s="372">
        <f t="shared" si="51"/>
        <v>44.751949070399995</v>
      </c>
      <c r="R38" s="373">
        <f t="shared" si="52"/>
        <v>6421.5983439999991</v>
      </c>
      <c r="S38" s="378">
        <f t="shared" si="87"/>
        <v>963.23975159999986</v>
      </c>
      <c r="T38" s="373">
        <f t="shared" si="62"/>
        <v>5413.6066433295991</v>
      </c>
      <c r="U38" s="373">
        <f t="shared" si="63"/>
        <v>12843.196687999998</v>
      </c>
      <c r="V38" s="374">
        <f t="shared" si="88"/>
        <v>1105.3995859999998</v>
      </c>
      <c r="W38" s="373">
        <f t="shared" si="64"/>
        <v>5271.4468089295997</v>
      </c>
      <c r="X38" s="373">
        <f t="shared" si="65"/>
        <v>19264.795031999998</v>
      </c>
      <c r="Y38" s="374">
        <f>R38*0.2</f>
        <v>1284.3196687999998</v>
      </c>
      <c r="Z38" s="373">
        <f t="shared" si="66"/>
        <v>5092.5267261295994</v>
      </c>
      <c r="AA38" s="373">
        <f t="shared" si="67"/>
        <v>25686.393375999996</v>
      </c>
      <c r="AB38" s="376">
        <f>(AA38-25000)*0.27+(25000-X38)*0.2</f>
        <v>1332.3672051199994</v>
      </c>
      <c r="AC38" s="373">
        <f t="shared" si="68"/>
        <v>5044.4791898096</v>
      </c>
      <c r="AD38" s="373">
        <f t="shared" si="69"/>
        <v>32107.991719999995</v>
      </c>
      <c r="AE38" s="376">
        <f t="shared" si="56"/>
        <v>1733.8315528799999</v>
      </c>
      <c r="AF38" s="373">
        <f t="shared" si="70"/>
        <v>4643.0148420495989</v>
      </c>
      <c r="AG38" s="373">
        <f t="shared" si="71"/>
        <v>38529.590063999996</v>
      </c>
      <c r="AH38" s="376">
        <f t="shared" si="72"/>
        <v>1733.8315528799999</v>
      </c>
      <c r="AI38" s="373">
        <f t="shared" si="73"/>
        <v>4643.0148420495989</v>
      </c>
      <c r="AJ38" s="373">
        <f t="shared" si="74"/>
        <v>44951.188407999995</v>
      </c>
      <c r="AK38" s="376">
        <f>H38*0.27</f>
        <v>1733.8315528799999</v>
      </c>
      <c r="AL38" s="373">
        <f t="shared" si="75"/>
        <v>4643.0148420495989</v>
      </c>
      <c r="AM38" s="373">
        <f t="shared" si="76"/>
        <v>51372.786751999993</v>
      </c>
      <c r="AN38" s="376">
        <f>H38*0.27</f>
        <v>1733.8315528799999</v>
      </c>
      <c r="AO38" s="373">
        <f t="shared" si="77"/>
        <v>4643.0148420495989</v>
      </c>
      <c r="AP38" s="373">
        <f t="shared" si="78"/>
        <v>57794.385095999991</v>
      </c>
      <c r="AQ38" s="376">
        <f>H38*0.27</f>
        <v>1733.8315528799999</v>
      </c>
      <c r="AR38" s="373">
        <f t="shared" si="79"/>
        <v>4643.0148420495989</v>
      </c>
      <c r="AS38" s="373">
        <f t="shared" si="80"/>
        <v>64215.983439999989</v>
      </c>
      <c r="AT38" s="376">
        <f>H38*0.27</f>
        <v>1733.8315528799999</v>
      </c>
      <c r="AU38" s="373">
        <f t="shared" si="81"/>
        <v>4643.0148420495989</v>
      </c>
      <c r="AV38" s="373">
        <f t="shared" si="82"/>
        <v>70637.581783999995</v>
      </c>
      <c r="AW38" s="376">
        <f>H38*0.27</f>
        <v>1733.8315528799999</v>
      </c>
      <c r="AX38" s="373">
        <f t="shared" si="83"/>
        <v>4643.0148420495989</v>
      </c>
      <c r="AY38" s="373">
        <f t="shared" si="84"/>
        <v>77059.180127999993</v>
      </c>
      <c r="AZ38" s="376">
        <f>H38*0.27</f>
        <v>1733.8315528799999</v>
      </c>
      <c r="BA38" s="373">
        <f t="shared" si="59"/>
        <v>4643.0148420495989</v>
      </c>
      <c r="BB38" s="292"/>
      <c r="BD38" s="358"/>
    </row>
    <row r="39" spans="1:56" ht="28.5" x14ac:dyDescent="0.45">
      <c r="A39" s="716" t="s">
        <v>29</v>
      </c>
      <c r="B39" s="461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49"/>
        <v>24980.1</v>
      </c>
      <c r="G39" s="233">
        <v>359</v>
      </c>
      <c r="H39" s="353">
        <f t="shared" si="60"/>
        <v>16659.442528</v>
      </c>
      <c r="I39" s="477">
        <v>0.64</v>
      </c>
      <c r="J39" s="362">
        <v>11600</v>
      </c>
      <c r="K39" s="361">
        <f t="shared" si="11"/>
        <v>11550.482589181869</v>
      </c>
      <c r="L39" s="390">
        <v>11308.756756228262</v>
      </c>
      <c r="M39" s="390">
        <f t="shared" si="50"/>
        <v>-241.7258329536071</v>
      </c>
      <c r="N39" s="390"/>
      <c r="O39" s="390">
        <f t="shared" si="13"/>
        <v>49.517410818130884</v>
      </c>
      <c r="P39" s="390">
        <f t="shared" si="61"/>
        <v>12287.747435299862</v>
      </c>
      <c r="Q39" s="372">
        <f t="shared" si="51"/>
        <v>112.3217206848</v>
      </c>
      <c r="R39" s="373">
        <f t="shared" si="52"/>
        <v>16659.442528</v>
      </c>
      <c r="S39" s="374">
        <f t="shared" si="53"/>
        <v>2831.8885055999999</v>
      </c>
      <c r="T39" s="373">
        <f t="shared" si="62"/>
        <v>13715.232301715201</v>
      </c>
      <c r="U39" s="373">
        <f t="shared" si="63"/>
        <v>33318.885055999999</v>
      </c>
      <c r="V39" s="376">
        <f>(U39-25000)*0.27+(25000-R39)*0.2</f>
        <v>3914.2104595199999</v>
      </c>
      <c r="W39" s="373">
        <f t="shared" si="64"/>
        <v>12632.910347795201</v>
      </c>
      <c r="X39" s="373">
        <f t="shared" si="65"/>
        <v>49978.327583999999</v>
      </c>
      <c r="Y39" s="376">
        <f t="shared" ref="Y39" si="89">R39*0.27</f>
        <v>4498.0494825599999</v>
      </c>
      <c r="Z39" s="373">
        <f t="shared" si="66"/>
        <v>12049.071324755201</v>
      </c>
      <c r="AA39" s="373">
        <f t="shared" si="67"/>
        <v>66637.770111999998</v>
      </c>
      <c r="AB39" s="376">
        <f t="shared" ref="AB39:AB45" si="90">H39*0.27</f>
        <v>4498.0494825599999</v>
      </c>
      <c r="AC39" s="373">
        <f t="shared" si="68"/>
        <v>12049.071324755201</v>
      </c>
      <c r="AD39" s="373">
        <f t="shared" si="69"/>
        <v>83297.212639999998</v>
      </c>
      <c r="AE39" s="376">
        <f t="shared" si="56"/>
        <v>4498.0494825599999</v>
      </c>
      <c r="AF39" s="373">
        <f t="shared" si="70"/>
        <v>12049.071324755201</v>
      </c>
      <c r="AG39" s="373">
        <f t="shared" si="71"/>
        <v>99956.655167999998</v>
      </c>
      <c r="AH39" s="377">
        <f>(AG39-88000)*0.35+(88000-AD39)*0.27</f>
        <v>5454.5818959999997</v>
      </c>
      <c r="AI39" s="373">
        <f t="shared" si="73"/>
        <v>11092.538911315201</v>
      </c>
      <c r="AJ39" s="373">
        <f t="shared" si="74"/>
        <v>116616.097696</v>
      </c>
      <c r="AK39" s="377">
        <f>H39*0.35</f>
        <v>5830.8048847999999</v>
      </c>
      <c r="AL39" s="373">
        <f t="shared" si="75"/>
        <v>10716.315922515201</v>
      </c>
      <c r="AM39" s="373">
        <f t="shared" si="76"/>
        <v>133275.540224</v>
      </c>
      <c r="AN39" s="377">
        <f>H39*0.35</f>
        <v>5830.8048847999999</v>
      </c>
      <c r="AO39" s="373">
        <f t="shared" si="77"/>
        <v>10716.315922515201</v>
      </c>
      <c r="AP39" s="373">
        <f t="shared" si="78"/>
        <v>149934.98275199998</v>
      </c>
      <c r="AQ39" s="377">
        <f>H39*0.35</f>
        <v>5830.8048847999999</v>
      </c>
      <c r="AR39" s="373">
        <f t="shared" si="79"/>
        <v>10716.315922515201</v>
      </c>
      <c r="AS39" s="373">
        <f t="shared" si="80"/>
        <v>166594.42528</v>
      </c>
      <c r="AT39" s="377">
        <f>H39*0.35</f>
        <v>5830.8048847999999</v>
      </c>
      <c r="AU39" s="373">
        <f t="shared" si="81"/>
        <v>10716.315922515201</v>
      </c>
      <c r="AV39" s="373">
        <f t="shared" si="82"/>
        <v>183253.86780800001</v>
      </c>
      <c r="AW39" s="377">
        <f t="shared" ref="AW39:AW45" si="91">H39*0.35</f>
        <v>5830.8048847999999</v>
      </c>
      <c r="AX39" s="373">
        <f t="shared" si="83"/>
        <v>10716.315922515201</v>
      </c>
      <c r="AY39" s="373">
        <f t="shared" si="84"/>
        <v>199913.310336</v>
      </c>
      <c r="AZ39" s="377">
        <f t="shared" ref="AZ39:AZ45" si="92">H39*0.35</f>
        <v>5830.8048847999999</v>
      </c>
      <c r="BA39" s="373">
        <f t="shared" si="59"/>
        <v>10716.315922515201</v>
      </c>
      <c r="BB39" s="292"/>
      <c r="BD39" s="358"/>
    </row>
    <row r="40" spans="1:56" ht="28.5" x14ac:dyDescent="0.45">
      <c r="A40" s="716"/>
      <c r="B40" s="461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49"/>
        <v>24980.1</v>
      </c>
      <c r="G40" s="233">
        <v>359</v>
      </c>
      <c r="H40" s="353">
        <f t="shared" si="60"/>
        <v>10836.081615999999</v>
      </c>
      <c r="I40" s="363">
        <v>0.33</v>
      </c>
      <c r="J40" s="362">
        <v>7900</v>
      </c>
      <c r="K40" s="361">
        <f t="shared" si="11"/>
        <v>7803.7321784010674</v>
      </c>
      <c r="L40" s="390">
        <v>7803.7321784010674</v>
      </c>
      <c r="M40" s="390">
        <f t="shared" si="50"/>
        <v>0</v>
      </c>
      <c r="N40" s="390"/>
      <c r="O40" s="390">
        <f t="shared" si="13"/>
        <v>96.267821598932642</v>
      </c>
      <c r="P40" s="390">
        <f t="shared" si="61"/>
        <v>8301.8427429798594</v>
      </c>
      <c r="Q40" s="372">
        <f t="shared" si="51"/>
        <v>73.88753866559999</v>
      </c>
      <c r="R40" s="373">
        <f t="shared" si="52"/>
        <v>10836.081615999999</v>
      </c>
      <c r="S40" s="374">
        <f t="shared" si="53"/>
        <v>1667.2163231999998</v>
      </c>
      <c r="T40" s="373">
        <f t="shared" si="62"/>
        <v>9094.9777541343992</v>
      </c>
      <c r="U40" s="373">
        <f t="shared" si="63"/>
        <v>21672.163231999999</v>
      </c>
      <c r="V40" s="374">
        <f>H40*0.2</f>
        <v>2167.2163231999998</v>
      </c>
      <c r="W40" s="373">
        <f t="shared" si="64"/>
        <v>8594.9777541343992</v>
      </c>
      <c r="X40" s="373">
        <f t="shared" si="65"/>
        <v>32508.244847999998</v>
      </c>
      <c r="Y40" s="376">
        <f t="shared" ref="Y40:Y45" si="93">(X40-25000)*0.27+(25000-U40)*0.2</f>
        <v>2692.7934625600001</v>
      </c>
      <c r="Z40" s="373">
        <f t="shared" si="66"/>
        <v>8069.4006147743994</v>
      </c>
      <c r="AA40" s="373">
        <f t="shared" si="67"/>
        <v>43344.326463999998</v>
      </c>
      <c r="AB40" s="376">
        <f t="shared" si="90"/>
        <v>2925.7420363199999</v>
      </c>
      <c r="AC40" s="373">
        <f t="shared" si="68"/>
        <v>7836.4520410143996</v>
      </c>
      <c r="AD40" s="373">
        <f t="shared" si="69"/>
        <v>54180.408079999994</v>
      </c>
      <c r="AE40" s="376">
        <f t="shared" si="56"/>
        <v>2925.7420363199999</v>
      </c>
      <c r="AF40" s="373">
        <f t="shared" si="70"/>
        <v>7836.4520410143996</v>
      </c>
      <c r="AG40" s="373">
        <f t="shared" si="71"/>
        <v>65016.489695999997</v>
      </c>
      <c r="AH40" s="376">
        <f t="shared" ref="AH40:AH51" si="94">H40*0.27</f>
        <v>2925.7420363199999</v>
      </c>
      <c r="AI40" s="373">
        <f t="shared" si="73"/>
        <v>7836.4520410143996</v>
      </c>
      <c r="AJ40" s="373">
        <f t="shared" si="74"/>
        <v>75852.571312</v>
      </c>
      <c r="AK40" s="376">
        <f>H40*0.27</f>
        <v>2925.7420363199999</v>
      </c>
      <c r="AL40" s="373">
        <f t="shared" si="75"/>
        <v>7836.4520410143996</v>
      </c>
      <c r="AM40" s="373">
        <f t="shared" si="76"/>
        <v>86688.652927999996</v>
      </c>
      <c r="AN40" s="376">
        <f>H40*0.27</f>
        <v>2925.7420363199999</v>
      </c>
      <c r="AO40" s="373">
        <f t="shared" si="77"/>
        <v>7836.4520410143996</v>
      </c>
      <c r="AP40" s="373">
        <f t="shared" si="78"/>
        <v>97524.734543999992</v>
      </c>
      <c r="AQ40" s="377">
        <f>(AP40-88000)*0.35+(88000-AM40)*0.27</f>
        <v>3687.7207998399981</v>
      </c>
      <c r="AR40" s="373">
        <f t="shared" si="79"/>
        <v>7074.4732774944014</v>
      </c>
      <c r="AS40" s="373">
        <f t="shared" si="80"/>
        <v>108360.81615999999</v>
      </c>
      <c r="AT40" s="377">
        <f>H40*0.35</f>
        <v>3792.6285655999995</v>
      </c>
      <c r="AU40" s="373">
        <f t="shared" si="81"/>
        <v>6969.5655117343995</v>
      </c>
      <c r="AV40" s="373">
        <f t="shared" si="82"/>
        <v>119196.897776</v>
      </c>
      <c r="AW40" s="377">
        <f t="shared" si="91"/>
        <v>3792.6285655999995</v>
      </c>
      <c r="AX40" s="373">
        <f t="shared" si="83"/>
        <v>6969.5655117343995</v>
      </c>
      <c r="AY40" s="373">
        <f t="shared" si="84"/>
        <v>130032.97939199999</v>
      </c>
      <c r="AZ40" s="377">
        <f t="shared" si="92"/>
        <v>3792.6285655999995</v>
      </c>
      <c r="BA40" s="373">
        <f t="shared" si="59"/>
        <v>6969.5655117343995</v>
      </c>
      <c r="BB40" s="292"/>
      <c r="BD40" s="358"/>
    </row>
    <row r="41" spans="1:56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49"/>
        <v>19984.079999999998</v>
      </c>
      <c r="G41" s="233">
        <v>359</v>
      </c>
      <c r="H41" s="353">
        <f t="shared" si="60"/>
        <v>12667.622547999999</v>
      </c>
      <c r="I41" s="477">
        <v>0.56999999999999995</v>
      </c>
      <c r="J41" s="362">
        <v>9000</v>
      </c>
      <c r="K41" s="361">
        <f t="shared" si="11"/>
        <v>8982.1456140498685</v>
      </c>
      <c r="L41" s="390">
        <v>8800.8512393346664</v>
      </c>
      <c r="M41" s="390">
        <f t="shared" si="50"/>
        <v>-181.29437471520214</v>
      </c>
      <c r="N41" s="390"/>
      <c r="O41" s="390">
        <f t="shared" si="13"/>
        <v>17.854385950131473</v>
      </c>
      <c r="P41" s="390">
        <f t="shared" si="61"/>
        <v>9555.4740574998614</v>
      </c>
      <c r="Q41" s="372">
        <f t="shared" si="51"/>
        <v>85.975708816799994</v>
      </c>
      <c r="R41" s="373">
        <f t="shared" si="52"/>
        <v>12667.622547999999</v>
      </c>
      <c r="S41" s="374">
        <f t="shared" si="53"/>
        <v>2033.5245095999999</v>
      </c>
      <c r="T41" s="373">
        <f t="shared" si="62"/>
        <v>10548.122329583199</v>
      </c>
      <c r="U41" s="373">
        <f t="shared" si="63"/>
        <v>25335.245095999999</v>
      </c>
      <c r="V41" s="374">
        <f>H41*0.2</f>
        <v>2533.5245095999999</v>
      </c>
      <c r="W41" s="373">
        <f t="shared" si="64"/>
        <v>10048.122329583199</v>
      </c>
      <c r="X41" s="373">
        <f t="shared" si="65"/>
        <v>38002.867643999998</v>
      </c>
      <c r="Y41" s="376">
        <f t="shared" si="93"/>
        <v>3443.7252446799998</v>
      </c>
      <c r="Z41" s="373">
        <f t="shared" si="66"/>
        <v>9137.9215945031992</v>
      </c>
      <c r="AA41" s="373">
        <f t="shared" si="67"/>
        <v>50670.490191999997</v>
      </c>
      <c r="AB41" s="376">
        <f t="shared" si="90"/>
        <v>3420.25808796</v>
      </c>
      <c r="AC41" s="373">
        <f t="shared" si="68"/>
        <v>9161.3887512231995</v>
      </c>
      <c r="AD41" s="373">
        <f t="shared" si="69"/>
        <v>63338.112739999997</v>
      </c>
      <c r="AE41" s="376">
        <f t="shared" si="56"/>
        <v>3420.25808796</v>
      </c>
      <c r="AF41" s="373">
        <f t="shared" si="70"/>
        <v>9161.3887512231995</v>
      </c>
      <c r="AG41" s="373">
        <f t="shared" si="71"/>
        <v>76005.735287999996</v>
      </c>
      <c r="AH41" s="376">
        <f t="shared" si="94"/>
        <v>3420.25808796</v>
      </c>
      <c r="AI41" s="373">
        <f t="shared" si="73"/>
        <v>9161.3887512231995</v>
      </c>
      <c r="AJ41" s="373">
        <f t="shared" si="74"/>
        <v>88673.357835999996</v>
      </c>
      <c r="AK41" s="376">
        <f>H41*0.27</f>
        <v>3420.25808796</v>
      </c>
      <c r="AL41" s="373">
        <f t="shared" si="75"/>
        <v>9161.3887512231995</v>
      </c>
      <c r="AM41" s="373">
        <f t="shared" si="76"/>
        <v>101340.98038399999</v>
      </c>
      <c r="AN41" s="377">
        <f>(AM41-88000)*0.35+(88000-AJ41)*0.27</f>
        <v>4487.5365186799991</v>
      </c>
      <c r="AO41" s="373">
        <f t="shared" si="77"/>
        <v>8094.1103205031995</v>
      </c>
      <c r="AP41" s="373">
        <f t="shared" si="78"/>
        <v>114008.60293199999</v>
      </c>
      <c r="AQ41" s="377">
        <f>H41*0.35</f>
        <v>4433.6678917999998</v>
      </c>
      <c r="AR41" s="373">
        <f t="shared" si="79"/>
        <v>8147.9789473831988</v>
      </c>
      <c r="AS41" s="373">
        <f t="shared" si="80"/>
        <v>126676.22547999999</v>
      </c>
      <c r="AT41" s="377">
        <f>H41*0.35</f>
        <v>4433.6678917999998</v>
      </c>
      <c r="AU41" s="373">
        <f t="shared" si="81"/>
        <v>8147.9789473831988</v>
      </c>
      <c r="AV41" s="373">
        <f t="shared" si="82"/>
        <v>139343.84802799998</v>
      </c>
      <c r="AW41" s="377">
        <f t="shared" si="91"/>
        <v>4433.6678917999998</v>
      </c>
      <c r="AX41" s="373">
        <f t="shared" si="83"/>
        <v>8147.9789473831988</v>
      </c>
      <c r="AY41" s="373">
        <f t="shared" si="84"/>
        <v>152011.47057599999</v>
      </c>
      <c r="AZ41" s="377">
        <f t="shared" si="92"/>
        <v>4433.6678917999998</v>
      </c>
      <c r="BA41" s="373">
        <f t="shared" si="59"/>
        <v>8147.9789473831988</v>
      </c>
      <c r="BB41" s="292"/>
      <c r="BD41" s="358"/>
    </row>
    <row r="42" spans="1:56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49"/>
        <v>19984.079999999998</v>
      </c>
      <c r="G42" s="233">
        <v>359</v>
      </c>
      <c r="H42" s="353">
        <f t="shared" si="60"/>
        <v>10836.081615999999</v>
      </c>
      <c r="I42" s="363">
        <v>0.44</v>
      </c>
      <c r="J42" s="362">
        <v>8000</v>
      </c>
      <c r="K42" s="361">
        <f t="shared" si="11"/>
        <v>7803.7321784010674</v>
      </c>
      <c r="L42" s="390">
        <v>7803.7321784010674</v>
      </c>
      <c r="M42" s="390">
        <f t="shared" si="50"/>
        <v>0</v>
      </c>
      <c r="N42" s="390"/>
      <c r="O42" s="390">
        <f t="shared" si="13"/>
        <v>196.26782159893264</v>
      </c>
      <c r="P42" s="390">
        <f t="shared" si="61"/>
        <v>8301.8427429798594</v>
      </c>
      <c r="Q42" s="372">
        <f t="shared" si="51"/>
        <v>73.88753866559999</v>
      </c>
      <c r="R42" s="373">
        <f t="shared" si="52"/>
        <v>10836.081615999999</v>
      </c>
      <c r="S42" s="374">
        <f t="shared" si="53"/>
        <v>1667.2163231999998</v>
      </c>
      <c r="T42" s="373">
        <f t="shared" si="62"/>
        <v>9094.9777541343992</v>
      </c>
      <c r="U42" s="373">
        <f t="shared" si="63"/>
        <v>21672.163231999999</v>
      </c>
      <c r="V42" s="374">
        <f>H42*0.2</f>
        <v>2167.2163231999998</v>
      </c>
      <c r="W42" s="373">
        <f t="shared" si="64"/>
        <v>8594.9777541343992</v>
      </c>
      <c r="X42" s="373">
        <f t="shared" si="65"/>
        <v>32508.244847999998</v>
      </c>
      <c r="Y42" s="376">
        <f t="shared" si="93"/>
        <v>2692.7934625600001</v>
      </c>
      <c r="Z42" s="373">
        <f t="shared" si="66"/>
        <v>8069.4006147743994</v>
      </c>
      <c r="AA42" s="373">
        <f t="shared" si="67"/>
        <v>43344.326463999998</v>
      </c>
      <c r="AB42" s="376">
        <f t="shared" si="90"/>
        <v>2925.7420363199999</v>
      </c>
      <c r="AC42" s="373">
        <f t="shared" si="68"/>
        <v>7836.4520410143996</v>
      </c>
      <c r="AD42" s="373">
        <f t="shared" si="69"/>
        <v>54180.408079999994</v>
      </c>
      <c r="AE42" s="376">
        <f t="shared" si="56"/>
        <v>2925.7420363199999</v>
      </c>
      <c r="AF42" s="373">
        <f t="shared" si="70"/>
        <v>7836.4520410143996</v>
      </c>
      <c r="AG42" s="373">
        <f t="shared" si="71"/>
        <v>65016.489695999997</v>
      </c>
      <c r="AH42" s="376">
        <f t="shared" si="94"/>
        <v>2925.7420363199999</v>
      </c>
      <c r="AI42" s="373">
        <f t="shared" si="73"/>
        <v>7836.4520410143996</v>
      </c>
      <c r="AJ42" s="373">
        <f t="shared" si="74"/>
        <v>75852.571312</v>
      </c>
      <c r="AK42" s="376">
        <f t="shared" ref="AK42:AK52" si="95">H42*0.27</f>
        <v>2925.7420363199999</v>
      </c>
      <c r="AL42" s="373">
        <f t="shared" si="75"/>
        <v>7836.4520410143996</v>
      </c>
      <c r="AM42" s="373">
        <f t="shared" si="76"/>
        <v>86688.652927999996</v>
      </c>
      <c r="AN42" s="376">
        <f>H42*0.27</f>
        <v>2925.7420363199999</v>
      </c>
      <c r="AO42" s="373">
        <f t="shared" si="77"/>
        <v>7836.4520410143996</v>
      </c>
      <c r="AP42" s="373">
        <f t="shared" si="78"/>
        <v>97524.734543999992</v>
      </c>
      <c r="AQ42" s="377">
        <f>(AP42-88000)*0.35+(88000-AM42)*0.27</f>
        <v>3687.7207998399981</v>
      </c>
      <c r="AR42" s="373">
        <f t="shared" si="79"/>
        <v>7074.4732774944014</v>
      </c>
      <c r="AS42" s="373">
        <f t="shared" si="80"/>
        <v>108360.81615999999</v>
      </c>
      <c r="AT42" s="377">
        <f>H42*0.35</f>
        <v>3792.6285655999995</v>
      </c>
      <c r="AU42" s="373">
        <f t="shared" si="81"/>
        <v>6969.5655117343995</v>
      </c>
      <c r="AV42" s="373">
        <f t="shared" si="82"/>
        <v>119196.897776</v>
      </c>
      <c r="AW42" s="377">
        <f t="shared" si="91"/>
        <v>3792.6285655999995</v>
      </c>
      <c r="AX42" s="373">
        <f t="shared" si="83"/>
        <v>6969.5655117343995</v>
      </c>
      <c r="AY42" s="373">
        <f t="shared" si="84"/>
        <v>130032.97939199999</v>
      </c>
      <c r="AZ42" s="377">
        <f t="shared" si="92"/>
        <v>3792.6285655999995</v>
      </c>
      <c r="BA42" s="373">
        <f t="shared" si="59"/>
        <v>6969.5655117343995</v>
      </c>
      <c r="BB42" s="292"/>
      <c r="BD42" s="358"/>
    </row>
    <row r="43" spans="1:56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49"/>
        <v>19984.079999999998</v>
      </c>
      <c r="G43" s="233">
        <v>359</v>
      </c>
      <c r="H43" s="353">
        <f t="shared" si="60"/>
        <v>9427.2039760000007</v>
      </c>
      <c r="I43" s="363">
        <v>0.34</v>
      </c>
      <c r="J43" s="362">
        <v>7000</v>
      </c>
      <c r="K43" s="361">
        <f t="shared" si="11"/>
        <v>6897.2603048250676</v>
      </c>
      <c r="L43" s="390">
        <v>6897.2603048250676</v>
      </c>
      <c r="M43" s="390">
        <f t="shared" si="50"/>
        <v>0</v>
      </c>
      <c r="N43" s="390"/>
      <c r="O43" s="390">
        <f t="shared" si="13"/>
        <v>102.73969517493242</v>
      </c>
      <c r="P43" s="390">
        <f t="shared" si="61"/>
        <v>7337.5109625798596</v>
      </c>
      <c r="Q43" s="372">
        <f t="shared" si="51"/>
        <v>64.588946241599999</v>
      </c>
      <c r="R43" s="373">
        <f t="shared" si="52"/>
        <v>9427.2039760000007</v>
      </c>
      <c r="S43" s="378">
        <f t="shared" ref="S43:S54" si="96">R43*0.15</f>
        <v>1414.0805964000001</v>
      </c>
      <c r="T43" s="373">
        <f t="shared" si="62"/>
        <v>7948.5344333584007</v>
      </c>
      <c r="U43" s="373">
        <f t="shared" si="63"/>
        <v>18854.407952000001</v>
      </c>
      <c r="V43" s="374">
        <f t="shared" ref="V43:V51" si="97">(U43-10000)*0.2+(10000-R43)*0.15</f>
        <v>1856.8009940000002</v>
      </c>
      <c r="W43" s="373">
        <f t="shared" si="64"/>
        <v>7505.8140357584007</v>
      </c>
      <c r="X43" s="373">
        <f t="shared" si="65"/>
        <v>28281.611928000002</v>
      </c>
      <c r="Y43" s="376">
        <f t="shared" si="93"/>
        <v>2115.1536301600004</v>
      </c>
      <c r="Z43" s="373">
        <f t="shared" si="66"/>
        <v>7247.4613995984</v>
      </c>
      <c r="AA43" s="373">
        <f t="shared" si="67"/>
        <v>37708.815904000003</v>
      </c>
      <c r="AB43" s="376">
        <f t="shared" si="90"/>
        <v>2545.3450735200004</v>
      </c>
      <c r="AC43" s="373">
        <f t="shared" si="68"/>
        <v>6817.2699562384005</v>
      </c>
      <c r="AD43" s="373">
        <f t="shared" si="69"/>
        <v>47136.019880000007</v>
      </c>
      <c r="AE43" s="376">
        <f t="shared" si="56"/>
        <v>2545.3450735200004</v>
      </c>
      <c r="AF43" s="373">
        <f t="shared" si="70"/>
        <v>6817.2699562384005</v>
      </c>
      <c r="AG43" s="373">
        <f t="shared" si="71"/>
        <v>56563.223856000004</v>
      </c>
      <c r="AH43" s="376">
        <f t="shared" si="94"/>
        <v>2545.3450735200004</v>
      </c>
      <c r="AI43" s="373">
        <f t="shared" si="73"/>
        <v>6817.2699562384005</v>
      </c>
      <c r="AJ43" s="373">
        <f t="shared" si="74"/>
        <v>65990.427832000001</v>
      </c>
      <c r="AK43" s="376">
        <f t="shared" si="95"/>
        <v>2545.3450735200004</v>
      </c>
      <c r="AL43" s="373">
        <f t="shared" si="75"/>
        <v>6817.2699562384005</v>
      </c>
      <c r="AM43" s="373">
        <f t="shared" si="76"/>
        <v>75417.631808000006</v>
      </c>
      <c r="AN43" s="376">
        <f t="shared" ref="AN43:AN54" si="98">H43*0.27</f>
        <v>2545.3450735200004</v>
      </c>
      <c r="AO43" s="373">
        <f t="shared" si="77"/>
        <v>6817.2699562384005</v>
      </c>
      <c r="AP43" s="373">
        <f t="shared" si="78"/>
        <v>84844.83578400001</v>
      </c>
      <c r="AQ43" s="376">
        <f>H43*0.27</f>
        <v>2545.3450735200004</v>
      </c>
      <c r="AR43" s="373">
        <f t="shared" si="79"/>
        <v>6817.2699562384005</v>
      </c>
      <c r="AS43" s="373">
        <f t="shared" si="80"/>
        <v>94272.039760000014</v>
      </c>
      <c r="AT43" s="377">
        <f>(AS43-88000)*0.35+(88000-AP43)*0.27</f>
        <v>3047.1082543200018</v>
      </c>
      <c r="AU43" s="373">
        <f t="shared" si="81"/>
        <v>6315.506775438399</v>
      </c>
      <c r="AV43" s="373">
        <f t="shared" si="82"/>
        <v>103699.243736</v>
      </c>
      <c r="AW43" s="377">
        <f t="shared" si="91"/>
        <v>3299.5213916000002</v>
      </c>
      <c r="AX43" s="373">
        <f t="shared" si="83"/>
        <v>6063.0936381584006</v>
      </c>
      <c r="AY43" s="373">
        <f t="shared" si="84"/>
        <v>113126.44771200001</v>
      </c>
      <c r="AZ43" s="377">
        <f t="shared" si="92"/>
        <v>3299.5213916000002</v>
      </c>
      <c r="BA43" s="373">
        <f t="shared" si="59"/>
        <v>6063.0936381584006</v>
      </c>
      <c r="BB43" s="292"/>
      <c r="BD43" s="358"/>
    </row>
    <row r="44" spans="1:56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49"/>
        <v>19984.079999999998</v>
      </c>
      <c r="G44" s="233">
        <v>359</v>
      </c>
      <c r="H44" s="353">
        <f t="shared" si="60"/>
        <v>9004.5406839999996</v>
      </c>
      <c r="I44" s="363">
        <v>0.31</v>
      </c>
      <c r="J44" s="362">
        <v>6700</v>
      </c>
      <c r="K44" s="361">
        <f t="shared" si="11"/>
        <v>6625.3187427522671</v>
      </c>
      <c r="L44" s="390">
        <v>6625.3187427522671</v>
      </c>
      <c r="M44" s="390">
        <f t="shared" si="50"/>
        <v>0</v>
      </c>
      <c r="N44" s="390"/>
      <c r="O44" s="390">
        <f t="shared" si="13"/>
        <v>74.681257247732901</v>
      </c>
      <c r="P44" s="390">
        <f t="shared" si="61"/>
        <v>7048.2114284598592</v>
      </c>
      <c r="Q44" s="372">
        <f t="shared" si="51"/>
        <v>61.799368514399994</v>
      </c>
      <c r="R44" s="373">
        <f t="shared" si="52"/>
        <v>9004.5406839999996</v>
      </c>
      <c r="S44" s="378">
        <f t="shared" si="96"/>
        <v>1350.6811025999998</v>
      </c>
      <c r="T44" s="373">
        <f t="shared" si="62"/>
        <v>7592.0602128856008</v>
      </c>
      <c r="U44" s="373">
        <f t="shared" si="63"/>
        <v>18009.081367999999</v>
      </c>
      <c r="V44" s="374">
        <f t="shared" si="97"/>
        <v>1751.1351709999999</v>
      </c>
      <c r="W44" s="373">
        <f t="shared" si="64"/>
        <v>7191.6061444856005</v>
      </c>
      <c r="X44" s="373">
        <f t="shared" si="65"/>
        <v>27013.622051999999</v>
      </c>
      <c r="Y44" s="376">
        <f t="shared" si="93"/>
        <v>1941.8616804399999</v>
      </c>
      <c r="Z44" s="373">
        <f t="shared" si="66"/>
        <v>7000.8796350456005</v>
      </c>
      <c r="AA44" s="373">
        <f t="shared" si="67"/>
        <v>36018.162735999998</v>
      </c>
      <c r="AB44" s="376">
        <f t="shared" si="90"/>
        <v>2431.2259846800002</v>
      </c>
      <c r="AC44" s="373">
        <f t="shared" si="68"/>
        <v>6511.5153308055997</v>
      </c>
      <c r="AD44" s="373">
        <f t="shared" si="69"/>
        <v>45022.703419999998</v>
      </c>
      <c r="AE44" s="376">
        <f t="shared" si="56"/>
        <v>2431.2259846800002</v>
      </c>
      <c r="AF44" s="373">
        <f t="shared" si="70"/>
        <v>6511.5153308055997</v>
      </c>
      <c r="AG44" s="373">
        <f t="shared" si="71"/>
        <v>54027.244103999998</v>
      </c>
      <c r="AH44" s="376">
        <f t="shared" si="94"/>
        <v>2431.2259846800002</v>
      </c>
      <c r="AI44" s="373">
        <f t="shared" si="73"/>
        <v>6511.5153308055997</v>
      </c>
      <c r="AJ44" s="373">
        <f t="shared" si="74"/>
        <v>63031.784787999997</v>
      </c>
      <c r="AK44" s="376">
        <f t="shared" si="95"/>
        <v>2431.2259846800002</v>
      </c>
      <c r="AL44" s="373">
        <f t="shared" si="75"/>
        <v>6511.5153308055997</v>
      </c>
      <c r="AM44" s="373">
        <f t="shared" si="76"/>
        <v>72036.325471999997</v>
      </c>
      <c r="AN44" s="376">
        <f t="shared" si="98"/>
        <v>2431.2259846800002</v>
      </c>
      <c r="AO44" s="373">
        <f t="shared" si="77"/>
        <v>6511.5153308055997</v>
      </c>
      <c r="AP44" s="373">
        <f t="shared" si="78"/>
        <v>81040.866156000004</v>
      </c>
      <c r="AQ44" s="376">
        <f>H44*0.27</f>
        <v>2431.2259846800002</v>
      </c>
      <c r="AR44" s="373">
        <f t="shared" si="79"/>
        <v>6511.5153308055997</v>
      </c>
      <c r="AS44" s="373">
        <f t="shared" si="80"/>
        <v>90045.406839999996</v>
      </c>
      <c r="AT44" s="377">
        <f>(AS44-88000)*0.35+(88000-AP44)*0.27</f>
        <v>2594.8585318799978</v>
      </c>
      <c r="AU44" s="373">
        <f t="shared" si="81"/>
        <v>6347.8827836056025</v>
      </c>
      <c r="AV44" s="373">
        <f t="shared" si="82"/>
        <v>99049.947523999988</v>
      </c>
      <c r="AW44" s="377">
        <f t="shared" si="91"/>
        <v>3151.5892393999998</v>
      </c>
      <c r="AX44" s="373">
        <f t="shared" si="83"/>
        <v>5791.1520760856001</v>
      </c>
      <c r="AY44" s="373">
        <f t="shared" si="84"/>
        <v>108054.488208</v>
      </c>
      <c r="AZ44" s="377">
        <f t="shared" si="92"/>
        <v>3151.5892393999998</v>
      </c>
      <c r="BA44" s="373">
        <f t="shared" si="59"/>
        <v>5791.1520760856001</v>
      </c>
      <c r="BB44" s="292"/>
      <c r="BD44" s="358"/>
    </row>
    <row r="45" spans="1:56" ht="28.5" x14ac:dyDescent="0.45">
      <c r="A45" s="716"/>
      <c r="B45" s="461" t="s">
        <v>226</v>
      </c>
      <c r="C45" s="231">
        <v>200</v>
      </c>
      <c r="D45" s="234">
        <v>4996.0199999999995</v>
      </c>
      <c r="E45" s="234">
        <v>6661.36</v>
      </c>
      <c r="F45" s="234">
        <f t="shared" si="49"/>
        <v>11657.38</v>
      </c>
      <c r="G45" s="233">
        <v>359</v>
      </c>
      <c r="H45" s="353">
        <f t="shared" si="60"/>
        <v>9208.0452320000004</v>
      </c>
      <c r="I45" s="363">
        <v>0.73</v>
      </c>
      <c r="J45" s="362">
        <v>6800</v>
      </c>
      <c r="K45" s="361">
        <f t="shared" si="11"/>
        <v>6756.2535689354663</v>
      </c>
      <c r="L45" s="390">
        <v>6756.2535689354663</v>
      </c>
      <c r="M45" s="390">
        <f t="shared" si="50"/>
        <v>0</v>
      </c>
      <c r="N45" s="390"/>
      <c r="O45" s="390">
        <f t="shared" si="13"/>
        <v>43.746431064533681</v>
      </c>
      <c r="P45" s="390">
        <f t="shared" si="61"/>
        <v>7187.5037967398584</v>
      </c>
      <c r="Q45" s="372">
        <f t="shared" si="51"/>
        <v>63.142498531200005</v>
      </c>
      <c r="R45" s="373">
        <f t="shared" si="52"/>
        <v>9208.0452320000004</v>
      </c>
      <c r="S45" s="378">
        <f t="shared" si="96"/>
        <v>1381.2067847999999</v>
      </c>
      <c r="T45" s="373">
        <f t="shared" si="62"/>
        <v>7763.6959486688002</v>
      </c>
      <c r="U45" s="373">
        <f t="shared" si="63"/>
        <v>18416.090464000001</v>
      </c>
      <c r="V45" s="374">
        <f t="shared" si="97"/>
        <v>1802.0113080000001</v>
      </c>
      <c r="W45" s="373">
        <f t="shared" si="64"/>
        <v>7342.8914254687998</v>
      </c>
      <c r="X45" s="373">
        <f t="shared" si="65"/>
        <v>27624.135696000001</v>
      </c>
      <c r="Y45" s="376">
        <f t="shared" si="93"/>
        <v>2025.2985451200002</v>
      </c>
      <c r="Z45" s="373">
        <f t="shared" si="66"/>
        <v>7119.6041883487997</v>
      </c>
      <c r="AA45" s="373">
        <f t="shared" si="67"/>
        <v>36832.180928000002</v>
      </c>
      <c r="AB45" s="376">
        <f t="shared" si="90"/>
        <v>2486.1722126400005</v>
      </c>
      <c r="AC45" s="373">
        <f t="shared" si="68"/>
        <v>6658.7305208287999</v>
      </c>
      <c r="AD45" s="373">
        <f t="shared" si="69"/>
        <v>46040.226160000006</v>
      </c>
      <c r="AE45" s="376">
        <f t="shared" si="56"/>
        <v>2486.1722126400005</v>
      </c>
      <c r="AF45" s="373">
        <f t="shared" si="70"/>
        <v>6658.7305208287999</v>
      </c>
      <c r="AG45" s="373">
        <f t="shared" si="71"/>
        <v>55248.271392000002</v>
      </c>
      <c r="AH45" s="376">
        <f t="shared" si="94"/>
        <v>2486.1722126400005</v>
      </c>
      <c r="AI45" s="373">
        <f t="shared" si="73"/>
        <v>6658.7305208287999</v>
      </c>
      <c r="AJ45" s="373">
        <f t="shared" si="74"/>
        <v>64456.316623999999</v>
      </c>
      <c r="AK45" s="376">
        <f t="shared" si="95"/>
        <v>2486.1722126400005</v>
      </c>
      <c r="AL45" s="373">
        <f t="shared" si="75"/>
        <v>6658.7305208287999</v>
      </c>
      <c r="AM45" s="373">
        <f t="shared" si="76"/>
        <v>73664.361856000003</v>
      </c>
      <c r="AN45" s="376">
        <f t="shared" si="98"/>
        <v>2486.1722126400005</v>
      </c>
      <c r="AO45" s="373">
        <f t="shared" si="77"/>
        <v>6658.7305208287999</v>
      </c>
      <c r="AP45" s="373">
        <f t="shared" si="78"/>
        <v>82872.407088000007</v>
      </c>
      <c r="AQ45" s="376">
        <f>H45*0.27</f>
        <v>2486.1722126400005</v>
      </c>
      <c r="AR45" s="373">
        <f t="shared" si="79"/>
        <v>6658.7305208287999</v>
      </c>
      <c r="AS45" s="373">
        <f t="shared" si="80"/>
        <v>92080.452320000011</v>
      </c>
      <c r="AT45" s="377">
        <f>(AS45-88000)*0.35+(88000-AP45)*0.27</f>
        <v>2812.6083982400023</v>
      </c>
      <c r="AU45" s="373">
        <f t="shared" si="81"/>
        <v>6332.2943352287975</v>
      </c>
      <c r="AV45" s="373">
        <f t="shared" si="82"/>
        <v>101288.497552</v>
      </c>
      <c r="AW45" s="377">
        <f t="shared" si="91"/>
        <v>3222.8158312</v>
      </c>
      <c r="AX45" s="373">
        <f t="shared" si="83"/>
        <v>5922.0869022688003</v>
      </c>
      <c r="AY45" s="373">
        <f t="shared" si="84"/>
        <v>110496.542784</v>
      </c>
      <c r="AZ45" s="377">
        <f t="shared" si="92"/>
        <v>3222.8158312</v>
      </c>
      <c r="BA45" s="373">
        <f t="shared" si="59"/>
        <v>5922.0869022688003</v>
      </c>
      <c r="BB45" s="292"/>
      <c r="BD45" s="358"/>
    </row>
    <row r="46" spans="1:56" ht="28.5" x14ac:dyDescent="0.45">
      <c r="A46" s="716"/>
      <c r="B46" s="461" t="s">
        <v>227</v>
      </c>
      <c r="C46" s="231">
        <v>200</v>
      </c>
      <c r="D46" s="234">
        <v>4996.0199999999995</v>
      </c>
      <c r="E46" s="234">
        <v>6661.36</v>
      </c>
      <c r="F46" s="234">
        <f t="shared" si="49"/>
        <v>11657.38</v>
      </c>
      <c r="G46" s="233">
        <v>359</v>
      </c>
      <c r="H46" s="353">
        <f t="shared" si="60"/>
        <v>8080.9431199999999</v>
      </c>
      <c r="I46" s="363">
        <v>0.55000000000000004</v>
      </c>
      <c r="J46" s="362">
        <v>6000</v>
      </c>
      <c r="K46" s="361">
        <f t="shared" si="11"/>
        <v>6025.1402412746656</v>
      </c>
      <c r="L46" s="390">
        <v>6025.1402412746656</v>
      </c>
      <c r="M46" s="390">
        <f t="shared" si="50"/>
        <v>0</v>
      </c>
      <c r="N46" s="390"/>
      <c r="O46" s="390">
        <f t="shared" si="13"/>
        <v>-25.140241274665641</v>
      </c>
      <c r="P46" s="390">
        <f t="shared" si="61"/>
        <v>6409.7236609304955</v>
      </c>
      <c r="Q46" s="372">
        <f t="shared" si="51"/>
        <v>55.703624591999997</v>
      </c>
      <c r="R46" s="373">
        <f>$H46*R$4</f>
        <v>8080.9431199999999</v>
      </c>
      <c r="S46" s="378">
        <f t="shared" si="96"/>
        <v>1212.141468</v>
      </c>
      <c r="T46" s="373">
        <f t="shared" si="62"/>
        <v>6813.0980274080002</v>
      </c>
      <c r="U46" s="373">
        <f t="shared" si="63"/>
        <v>16161.88624</v>
      </c>
      <c r="V46" s="374">
        <f t="shared" si="97"/>
        <v>1520.23578</v>
      </c>
      <c r="W46" s="373">
        <f t="shared" si="64"/>
        <v>6505.0037154080001</v>
      </c>
      <c r="X46" s="373">
        <f t="shared" si="65"/>
        <v>24242.82936</v>
      </c>
      <c r="Y46" s="374">
        <f>H46*0.2</f>
        <v>1616.1886240000001</v>
      </c>
      <c r="Z46" s="373">
        <f t="shared" si="66"/>
        <v>6409.0508714079997</v>
      </c>
      <c r="AA46" s="373">
        <f t="shared" si="67"/>
        <v>32323.77248</v>
      </c>
      <c r="AB46" s="376">
        <f>(AA46-25000)*0.27+(25000-X46)*0.2</f>
        <v>2128.8526975999998</v>
      </c>
      <c r="AC46" s="373">
        <f t="shared" si="68"/>
        <v>5896.3867978079998</v>
      </c>
      <c r="AD46" s="373">
        <f t="shared" si="69"/>
        <v>40404.715599999996</v>
      </c>
      <c r="AE46" s="376">
        <f t="shared" si="56"/>
        <v>2181.8546424000001</v>
      </c>
      <c r="AF46" s="373">
        <f t="shared" si="70"/>
        <v>5843.3848530079995</v>
      </c>
      <c r="AG46" s="373">
        <f t="shared" si="71"/>
        <v>48485.658719999999</v>
      </c>
      <c r="AH46" s="376">
        <f t="shared" si="94"/>
        <v>2181.8546424000001</v>
      </c>
      <c r="AI46" s="373">
        <f t="shared" si="73"/>
        <v>5843.3848530079995</v>
      </c>
      <c r="AJ46" s="373">
        <f t="shared" si="74"/>
        <v>56566.601840000003</v>
      </c>
      <c r="AK46" s="376">
        <f t="shared" si="95"/>
        <v>2181.8546424000001</v>
      </c>
      <c r="AL46" s="373">
        <f t="shared" si="75"/>
        <v>5843.3848530079995</v>
      </c>
      <c r="AM46" s="373">
        <f t="shared" si="76"/>
        <v>64647.544959999999</v>
      </c>
      <c r="AN46" s="376">
        <f t="shared" si="98"/>
        <v>2181.8546424000001</v>
      </c>
      <c r="AO46" s="373">
        <f t="shared" si="77"/>
        <v>5843.3848530079995</v>
      </c>
      <c r="AP46" s="373">
        <f t="shared" si="78"/>
        <v>72728.488079999996</v>
      </c>
      <c r="AQ46" s="376">
        <f>H46*0.27</f>
        <v>2181.8546424000001</v>
      </c>
      <c r="AR46" s="373">
        <f t="shared" si="79"/>
        <v>5843.3848530079995</v>
      </c>
      <c r="AS46" s="373">
        <f t="shared" si="80"/>
        <v>80809.431199999992</v>
      </c>
      <c r="AT46" s="376">
        <f>H46*0.27</f>
        <v>2181.8546424000001</v>
      </c>
      <c r="AU46" s="373">
        <f t="shared" si="81"/>
        <v>5843.3848530079995</v>
      </c>
      <c r="AV46" s="373">
        <f t="shared" si="82"/>
        <v>88890.374320000003</v>
      </c>
      <c r="AW46" s="377">
        <f>(AV46-88000)*0.35+(88000-AS46)*0.27</f>
        <v>2253.0845880000034</v>
      </c>
      <c r="AX46" s="373">
        <f t="shared" si="83"/>
        <v>5772.1549074079967</v>
      </c>
      <c r="AY46" s="373">
        <f t="shared" si="84"/>
        <v>96971.317439999999</v>
      </c>
      <c r="AZ46" s="377">
        <f>(AY46-88000)*0.35+(88000-AV46)*0.27</f>
        <v>2899.5600375999989</v>
      </c>
      <c r="BA46" s="373">
        <f t="shared" si="59"/>
        <v>5125.6794578080007</v>
      </c>
      <c r="BB46" s="292"/>
      <c r="BD46" s="358"/>
    </row>
    <row r="47" spans="1:56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49"/>
        <v>13988.856</v>
      </c>
      <c r="G47" s="233">
        <v>359</v>
      </c>
      <c r="H47" s="353">
        <f t="shared" si="60"/>
        <v>9878.044820799998</v>
      </c>
      <c r="I47" s="363">
        <v>0.62</v>
      </c>
      <c r="J47" s="362">
        <v>7351</v>
      </c>
      <c r="K47" s="361">
        <f t="shared" si="11"/>
        <v>7187.3313043693861</v>
      </c>
      <c r="L47" s="390">
        <v>7187.3313043693861</v>
      </c>
      <c r="M47" s="390">
        <f t="shared" si="50"/>
        <v>0</v>
      </c>
      <c r="N47" s="390"/>
      <c r="O47" s="390">
        <f t="shared" si="13"/>
        <v>163.66869563061391</v>
      </c>
      <c r="P47" s="390">
        <f t="shared" si="61"/>
        <v>7646.0971323078584</v>
      </c>
      <c r="Q47" s="372">
        <f t="shared" si="51"/>
        <v>67.56449581727999</v>
      </c>
      <c r="R47" s="373">
        <f t="shared" si="52"/>
        <v>9878.044820799998</v>
      </c>
      <c r="S47" s="378">
        <f t="shared" si="96"/>
        <v>1481.7067231199997</v>
      </c>
      <c r="T47" s="373">
        <f t="shared" si="62"/>
        <v>8328.7736018627184</v>
      </c>
      <c r="U47" s="373">
        <f t="shared" si="63"/>
        <v>19756.089641599996</v>
      </c>
      <c r="V47" s="374">
        <f t="shared" si="97"/>
        <v>1969.5112051999997</v>
      </c>
      <c r="W47" s="373">
        <f t="shared" si="64"/>
        <v>7840.9691197827187</v>
      </c>
      <c r="X47" s="373">
        <f t="shared" si="65"/>
        <v>29634.134462399994</v>
      </c>
      <c r="Y47" s="376">
        <f>(X47-25000)*0.27+(25000-U47)*0.2</f>
        <v>2299.9983765279994</v>
      </c>
      <c r="Z47" s="373">
        <f t="shared" si="66"/>
        <v>7510.4819484547188</v>
      </c>
      <c r="AA47" s="373">
        <f t="shared" si="67"/>
        <v>39512.179283199992</v>
      </c>
      <c r="AB47" s="376">
        <f>H47*0.27</f>
        <v>2667.0721016159996</v>
      </c>
      <c r="AC47" s="373">
        <f t="shared" si="68"/>
        <v>7143.4082233667186</v>
      </c>
      <c r="AD47" s="373">
        <f t="shared" si="69"/>
        <v>49390.224103999994</v>
      </c>
      <c r="AE47" s="376">
        <f t="shared" si="56"/>
        <v>2667.0721016159996</v>
      </c>
      <c r="AF47" s="373">
        <f t="shared" si="70"/>
        <v>7143.4082233667186</v>
      </c>
      <c r="AG47" s="373">
        <f t="shared" si="71"/>
        <v>59268.268924799988</v>
      </c>
      <c r="AH47" s="376">
        <f t="shared" si="94"/>
        <v>2667.0721016159996</v>
      </c>
      <c r="AI47" s="373">
        <f t="shared" si="73"/>
        <v>7143.4082233667186</v>
      </c>
      <c r="AJ47" s="373">
        <f t="shared" si="74"/>
        <v>69146.313745599982</v>
      </c>
      <c r="AK47" s="376">
        <f t="shared" si="95"/>
        <v>2667.0721016159996</v>
      </c>
      <c r="AL47" s="373">
        <f t="shared" si="75"/>
        <v>7143.4082233667186</v>
      </c>
      <c r="AM47" s="373">
        <f t="shared" si="76"/>
        <v>79024.358566399984</v>
      </c>
      <c r="AN47" s="376">
        <f t="shared" si="98"/>
        <v>2667.0721016159996</v>
      </c>
      <c r="AO47" s="373">
        <f t="shared" si="77"/>
        <v>7143.4082233667186</v>
      </c>
      <c r="AP47" s="373">
        <f t="shared" si="78"/>
        <v>88902.403387199985</v>
      </c>
      <c r="AQ47" s="377">
        <f>(AP47-88000)*0.35+(88000-AM47)*0.27</f>
        <v>2739.2643725919993</v>
      </c>
      <c r="AR47" s="373">
        <f t="shared" si="79"/>
        <v>7071.2159523907194</v>
      </c>
      <c r="AS47" s="373">
        <f t="shared" si="80"/>
        <v>98780.448207999987</v>
      </c>
      <c r="AT47" s="377">
        <f>H47*0.35</f>
        <v>3457.3156872799991</v>
      </c>
      <c r="AU47" s="373">
        <f t="shared" si="81"/>
        <v>6353.1646377027191</v>
      </c>
      <c r="AV47" s="373">
        <f t="shared" si="82"/>
        <v>108658.49302879997</v>
      </c>
      <c r="AW47" s="377">
        <f>H47*0.35</f>
        <v>3457.3156872799991</v>
      </c>
      <c r="AX47" s="373">
        <f t="shared" si="83"/>
        <v>6353.1646377027191</v>
      </c>
      <c r="AY47" s="373">
        <f t="shared" si="84"/>
        <v>118536.53784959998</v>
      </c>
      <c r="AZ47" s="377">
        <f>H47*0.35</f>
        <v>3457.3156872799991</v>
      </c>
      <c r="BA47" s="373">
        <f t="shared" si="59"/>
        <v>6353.1646377027191</v>
      </c>
      <c r="BB47" s="292"/>
      <c r="BD47" s="358"/>
    </row>
    <row r="48" spans="1:56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49"/>
        <v>13988.856</v>
      </c>
      <c r="G48" s="233">
        <v>359</v>
      </c>
      <c r="H48" s="353">
        <f t="shared" si="60"/>
        <v>8018.3263359999983</v>
      </c>
      <c r="I48" s="463">
        <v>0.4</v>
      </c>
      <c r="J48" s="362">
        <v>6000</v>
      </c>
      <c r="K48" s="361">
        <f t="shared" si="11"/>
        <v>5990.7884312490669</v>
      </c>
      <c r="L48" s="390">
        <v>5990.7884312490669</v>
      </c>
      <c r="M48" s="390">
        <f t="shared" si="50"/>
        <v>0</v>
      </c>
      <c r="N48" s="390"/>
      <c r="O48" s="390">
        <f t="shared" si="13"/>
        <v>9.211568750933111</v>
      </c>
      <c r="P48" s="390">
        <f t="shared" si="61"/>
        <v>6373.1791821798588</v>
      </c>
      <c r="Q48" s="372">
        <f t="shared" si="51"/>
        <v>55.290353817599986</v>
      </c>
      <c r="R48" s="373">
        <f t="shared" si="52"/>
        <v>8018.3263359999983</v>
      </c>
      <c r="S48" s="378">
        <f t="shared" si="96"/>
        <v>1202.7489503999998</v>
      </c>
      <c r="T48" s="373">
        <f t="shared" si="62"/>
        <v>6760.287031782399</v>
      </c>
      <c r="U48" s="373">
        <f t="shared" si="63"/>
        <v>16036.652671999997</v>
      </c>
      <c r="V48" s="374">
        <f t="shared" si="97"/>
        <v>1504.5815839999996</v>
      </c>
      <c r="W48" s="373">
        <f t="shared" si="64"/>
        <v>6458.454398182399</v>
      </c>
      <c r="X48" s="373">
        <f t="shared" si="65"/>
        <v>24054.979007999995</v>
      </c>
      <c r="Y48" s="374">
        <f>H48*0.2</f>
        <v>1603.6652671999998</v>
      </c>
      <c r="Z48" s="373">
        <f t="shared" si="66"/>
        <v>6359.3707149823986</v>
      </c>
      <c r="AA48" s="373">
        <f t="shared" si="67"/>
        <v>32073.305343999993</v>
      </c>
      <c r="AB48" s="376">
        <f>(AA48-25000)*0.27+(25000-X48)*0.2</f>
        <v>2098.7966412799992</v>
      </c>
      <c r="AC48" s="373">
        <f t="shared" si="68"/>
        <v>5864.2393409023989</v>
      </c>
      <c r="AD48" s="373">
        <f t="shared" si="69"/>
        <v>40091.631679999991</v>
      </c>
      <c r="AE48" s="376">
        <f t="shared" si="56"/>
        <v>2164.9481107199995</v>
      </c>
      <c r="AF48" s="373">
        <f t="shared" si="70"/>
        <v>5798.0878714623996</v>
      </c>
      <c r="AG48" s="373">
        <f t="shared" si="71"/>
        <v>48109.95801599999</v>
      </c>
      <c r="AH48" s="376">
        <f t="shared" si="94"/>
        <v>2164.9481107199995</v>
      </c>
      <c r="AI48" s="373">
        <f t="shared" si="73"/>
        <v>5798.0878714623996</v>
      </c>
      <c r="AJ48" s="373">
        <f t="shared" si="74"/>
        <v>56128.284351999988</v>
      </c>
      <c r="AK48" s="376">
        <f t="shared" si="95"/>
        <v>2164.9481107199995</v>
      </c>
      <c r="AL48" s="373">
        <f t="shared" si="75"/>
        <v>5798.0878714623996</v>
      </c>
      <c r="AM48" s="373">
        <f t="shared" si="76"/>
        <v>64146.610687999986</v>
      </c>
      <c r="AN48" s="376">
        <f t="shared" si="98"/>
        <v>2164.9481107199995</v>
      </c>
      <c r="AO48" s="373">
        <f t="shared" si="77"/>
        <v>5798.0878714623996</v>
      </c>
      <c r="AP48" s="373">
        <f t="shared" si="78"/>
        <v>72164.937023999984</v>
      </c>
      <c r="AQ48" s="376">
        <f t="shared" ref="AQ48:AQ54" si="99">H48*0.27</f>
        <v>2164.9481107199995</v>
      </c>
      <c r="AR48" s="373">
        <f t="shared" si="79"/>
        <v>5798.0878714623996</v>
      </c>
      <c r="AS48" s="373">
        <f t="shared" si="80"/>
        <v>80183.263359999983</v>
      </c>
      <c r="AT48" s="376">
        <f>H48*0.27</f>
        <v>2164.9481107199995</v>
      </c>
      <c r="AU48" s="373">
        <f t="shared" si="81"/>
        <v>5798.0878714623996</v>
      </c>
      <c r="AV48" s="373">
        <f t="shared" si="82"/>
        <v>88201.589695999981</v>
      </c>
      <c r="AW48" s="377">
        <f>(AV48-88000)*0.35+(88000-AS48)*0.27</f>
        <v>2181.0752863999983</v>
      </c>
      <c r="AX48" s="373">
        <f t="shared" si="83"/>
        <v>5781.9606957823999</v>
      </c>
      <c r="AY48" s="373">
        <f t="shared" si="84"/>
        <v>96219.916031999979</v>
      </c>
      <c r="AZ48" s="377">
        <f>H48*0.35</f>
        <v>2806.4142175999991</v>
      </c>
      <c r="BA48" s="373">
        <f t="shared" si="59"/>
        <v>5156.6217645823999</v>
      </c>
      <c r="BB48" s="292"/>
      <c r="BD48" s="358"/>
    </row>
    <row r="49" spans="1:56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49"/>
        <v>10991.243999999999</v>
      </c>
      <c r="G49" s="233">
        <v>359</v>
      </c>
      <c r="H49" s="353">
        <f t="shared" si="60"/>
        <v>8131.0365471999994</v>
      </c>
      <c r="I49" s="363">
        <v>0.62</v>
      </c>
      <c r="J49" s="362">
        <v>6100</v>
      </c>
      <c r="K49" s="361">
        <f t="shared" si="11"/>
        <v>6063.3061811351463</v>
      </c>
      <c r="L49" s="390">
        <v>6063.3061811351463</v>
      </c>
      <c r="M49" s="390">
        <f t="shared" si="50"/>
        <v>0</v>
      </c>
      <c r="N49" s="390"/>
      <c r="O49" s="390">
        <f t="shared" si="13"/>
        <v>36.693818864853711</v>
      </c>
      <c r="P49" s="390">
        <f t="shared" si="61"/>
        <v>6450.3257246118583</v>
      </c>
      <c r="Q49" s="372">
        <f t="shared" si="51"/>
        <v>56.034241211519998</v>
      </c>
      <c r="R49" s="373">
        <f t="shared" si="52"/>
        <v>8131.0365471999994</v>
      </c>
      <c r="S49" s="378">
        <f t="shared" si="96"/>
        <v>1219.65548208</v>
      </c>
      <c r="T49" s="373">
        <f t="shared" si="62"/>
        <v>6855.3468239084796</v>
      </c>
      <c r="U49" s="373">
        <f t="shared" si="63"/>
        <v>16262.073094399999</v>
      </c>
      <c r="V49" s="374">
        <f t="shared" si="97"/>
        <v>1532.7591367999999</v>
      </c>
      <c r="W49" s="373">
        <f t="shared" si="64"/>
        <v>6542.2431691884794</v>
      </c>
      <c r="X49" s="373">
        <f t="shared" si="65"/>
        <v>24393.1096416</v>
      </c>
      <c r="Y49" s="374">
        <f>H49*0.2</f>
        <v>1626.20730944</v>
      </c>
      <c r="Z49" s="373">
        <f t="shared" si="66"/>
        <v>6448.7949965484795</v>
      </c>
      <c r="AA49" s="373">
        <f t="shared" si="67"/>
        <v>32524.146188799998</v>
      </c>
      <c r="AB49" s="376">
        <f>(AA49-25000)*0.27+(25000-X49)*0.2</f>
        <v>2152.8975426559996</v>
      </c>
      <c r="AC49" s="373">
        <f t="shared" si="68"/>
        <v>5922.1047633324797</v>
      </c>
      <c r="AD49" s="373">
        <f t="shared" si="69"/>
        <v>40655.182735999995</v>
      </c>
      <c r="AE49" s="376">
        <f t="shared" si="56"/>
        <v>2195.379867744</v>
      </c>
      <c r="AF49" s="373">
        <f t="shared" si="70"/>
        <v>5879.6224382444798</v>
      </c>
      <c r="AG49" s="373">
        <f t="shared" si="71"/>
        <v>48786.2192832</v>
      </c>
      <c r="AH49" s="376">
        <f t="shared" si="94"/>
        <v>2195.379867744</v>
      </c>
      <c r="AI49" s="373">
        <f t="shared" si="73"/>
        <v>5879.6224382444798</v>
      </c>
      <c r="AJ49" s="373">
        <f t="shared" si="74"/>
        <v>56917.255830399998</v>
      </c>
      <c r="AK49" s="376">
        <f t="shared" si="95"/>
        <v>2195.379867744</v>
      </c>
      <c r="AL49" s="373">
        <f t="shared" si="75"/>
        <v>5879.6224382444798</v>
      </c>
      <c r="AM49" s="373">
        <f t="shared" si="76"/>
        <v>65048.292377599995</v>
      </c>
      <c r="AN49" s="376">
        <f t="shared" si="98"/>
        <v>2195.379867744</v>
      </c>
      <c r="AO49" s="373">
        <f t="shared" si="77"/>
        <v>5879.6224382444798</v>
      </c>
      <c r="AP49" s="373">
        <f t="shared" si="78"/>
        <v>73179.328924799993</v>
      </c>
      <c r="AQ49" s="376">
        <f t="shared" si="99"/>
        <v>2195.379867744</v>
      </c>
      <c r="AR49" s="373">
        <f t="shared" si="79"/>
        <v>5879.6224382444798</v>
      </c>
      <c r="AS49" s="373">
        <f t="shared" si="80"/>
        <v>81310.36547199999</v>
      </c>
      <c r="AT49" s="376">
        <f>H49*0.27</f>
        <v>2195.379867744</v>
      </c>
      <c r="AU49" s="373">
        <f t="shared" si="81"/>
        <v>5879.6224382444798</v>
      </c>
      <c r="AV49" s="373">
        <f t="shared" si="82"/>
        <v>89441.402019199988</v>
      </c>
      <c r="AW49" s="377">
        <f>(AV49-88000)*0.35+(88000-AS49)*0.27</f>
        <v>2310.6920292799982</v>
      </c>
      <c r="AX49" s="373">
        <f t="shared" si="83"/>
        <v>5764.310276708482</v>
      </c>
      <c r="AY49" s="373">
        <f t="shared" si="84"/>
        <v>97572.4385664</v>
      </c>
      <c r="AZ49" s="377">
        <f>H49*0.35</f>
        <v>2845.8627915199995</v>
      </c>
      <c r="BA49" s="373">
        <f t="shared" si="59"/>
        <v>5229.1395144684802</v>
      </c>
      <c r="BB49" s="292"/>
      <c r="BD49" s="358"/>
    </row>
    <row r="50" spans="1:56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49"/>
        <v>10991.243999999999</v>
      </c>
      <c r="G50" s="233">
        <v>359</v>
      </c>
      <c r="H50" s="353">
        <f t="shared" si="60"/>
        <v>7116.6446464000001</v>
      </c>
      <c r="I50" s="363">
        <v>0.44</v>
      </c>
      <c r="J50" s="362">
        <v>5400</v>
      </c>
      <c r="K50" s="361">
        <f t="shared" si="11"/>
        <v>5393.3113372057587</v>
      </c>
      <c r="L50" s="390">
        <v>5393.3113372057587</v>
      </c>
      <c r="M50" s="390">
        <f t="shared" si="50"/>
        <v>0</v>
      </c>
      <c r="N50" s="390"/>
      <c r="O50" s="390">
        <f t="shared" si="13"/>
        <v>6.6886627942412815</v>
      </c>
      <c r="P50" s="390">
        <f t="shared" si="61"/>
        <v>5737.5652523465524</v>
      </c>
      <c r="Q50" s="372">
        <f t="shared" si="51"/>
        <v>49.339254666240002</v>
      </c>
      <c r="R50" s="373">
        <f t="shared" si="52"/>
        <v>7116.6446464000001</v>
      </c>
      <c r="S50" s="378">
        <f t="shared" si="96"/>
        <v>1067.49669696</v>
      </c>
      <c r="T50" s="373">
        <f t="shared" si="62"/>
        <v>5999.8086947737602</v>
      </c>
      <c r="U50" s="373">
        <f t="shared" si="63"/>
        <v>14233.2892928</v>
      </c>
      <c r="V50" s="374">
        <f t="shared" si="97"/>
        <v>1279.1611616</v>
      </c>
      <c r="W50" s="373">
        <f t="shared" si="64"/>
        <v>5788.1442301337602</v>
      </c>
      <c r="X50" s="373">
        <f t="shared" si="65"/>
        <v>21349.9339392</v>
      </c>
      <c r="Y50" s="374">
        <f>H50*0.2</f>
        <v>1423.32892928</v>
      </c>
      <c r="Z50" s="373">
        <f t="shared" si="66"/>
        <v>5643.9764624537602</v>
      </c>
      <c r="AA50" s="373">
        <f t="shared" si="67"/>
        <v>28466.5785856</v>
      </c>
      <c r="AB50" s="376">
        <f>(AA50-25000)*0.27+(25000-X50)*0.2</f>
        <v>1665.9894302719999</v>
      </c>
      <c r="AC50" s="373">
        <f t="shared" si="68"/>
        <v>5401.3159614617598</v>
      </c>
      <c r="AD50" s="373">
        <f t="shared" si="69"/>
        <v>35583.223232000004</v>
      </c>
      <c r="AE50" s="376">
        <f t="shared" si="56"/>
        <v>1921.4940545280001</v>
      </c>
      <c r="AF50" s="373">
        <f t="shared" si="70"/>
        <v>5145.8113372057596</v>
      </c>
      <c r="AG50" s="373">
        <f t="shared" si="71"/>
        <v>42699.8678784</v>
      </c>
      <c r="AH50" s="376">
        <f t="shared" si="94"/>
        <v>1921.4940545280001</v>
      </c>
      <c r="AI50" s="373">
        <f t="shared" si="73"/>
        <v>5145.8113372057596</v>
      </c>
      <c r="AJ50" s="373">
        <f t="shared" si="74"/>
        <v>49816.512524799997</v>
      </c>
      <c r="AK50" s="376">
        <f t="shared" si="95"/>
        <v>1921.4940545280001</v>
      </c>
      <c r="AL50" s="373">
        <f t="shared" si="75"/>
        <v>5145.8113372057596</v>
      </c>
      <c r="AM50" s="373">
        <f t="shared" si="76"/>
        <v>56933.1571712</v>
      </c>
      <c r="AN50" s="376">
        <f t="shared" si="98"/>
        <v>1921.4940545280001</v>
      </c>
      <c r="AO50" s="373">
        <f t="shared" si="77"/>
        <v>5145.8113372057596</v>
      </c>
      <c r="AP50" s="373">
        <f t="shared" si="78"/>
        <v>64049.801817600004</v>
      </c>
      <c r="AQ50" s="376">
        <f t="shared" si="99"/>
        <v>1921.4940545280001</v>
      </c>
      <c r="AR50" s="373">
        <f t="shared" si="79"/>
        <v>5145.8113372057596</v>
      </c>
      <c r="AS50" s="373">
        <f t="shared" si="80"/>
        <v>71166.446464000008</v>
      </c>
      <c r="AT50" s="376">
        <f>H50*0.27</f>
        <v>1921.4940545280001</v>
      </c>
      <c r="AU50" s="373">
        <f t="shared" si="81"/>
        <v>5145.8113372057596</v>
      </c>
      <c r="AV50" s="373">
        <f t="shared" si="82"/>
        <v>78283.091110399997</v>
      </c>
      <c r="AW50" s="376">
        <f>H50*0.27</f>
        <v>1921.4940545280001</v>
      </c>
      <c r="AX50" s="373">
        <f t="shared" si="83"/>
        <v>5145.8113372057596</v>
      </c>
      <c r="AY50" s="373">
        <f t="shared" si="84"/>
        <v>85399.735756800001</v>
      </c>
      <c r="AZ50" s="376">
        <f t="shared" ref="AZ50:AZ54" si="100">H50*0.27</f>
        <v>1921.4940545280001</v>
      </c>
      <c r="BA50" s="373">
        <f t="shared" si="59"/>
        <v>5145.8113372057596</v>
      </c>
      <c r="BB50" s="292"/>
      <c r="BD50" s="358"/>
    </row>
    <row r="51" spans="1:56" ht="28.5" x14ac:dyDescent="0.45">
      <c r="A51" s="718"/>
      <c r="B51" s="394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49"/>
        <v>10991.243999999999</v>
      </c>
      <c r="G51" s="233">
        <v>359</v>
      </c>
      <c r="H51" s="353">
        <f t="shared" si="60"/>
        <v>5200.5710559999998</v>
      </c>
      <c r="I51" s="393">
        <v>0.1</v>
      </c>
      <c r="J51" s="362">
        <v>3900</v>
      </c>
      <c r="K51" s="361">
        <f t="shared" si="11"/>
        <v>4007.2237019103995</v>
      </c>
      <c r="L51" s="390">
        <v>4007.2237019103995</v>
      </c>
      <c r="M51" s="390">
        <f t="shared" si="50"/>
        <v>0</v>
      </c>
      <c r="N51" s="390"/>
      <c r="O51" s="390">
        <f t="shared" si="13"/>
        <v>-107.22370191039954</v>
      </c>
      <c r="P51" s="390">
        <f t="shared" si="61"/>
        <v>4263.0039382025534</v>
      </c>
      <c r="Q51" s="372">
        <f t="shared" si="51"/>
        <v>36.693168969599995</v>
      </c>
      <c r="R51" s="373">
        <f t="shared" si="52"/>
        <v>5200.5710559999998</v>
      </c>
      <c r="S51" s="378">
        <f t="shared" si="96"/>
        <v>780.08565839999994</v>
      </c>
      <c r="T51" s="373">
        <f t="shared" si="62"/>
        <v>4383.7922286303992</v>
      </c>
      <c r="U51" s="373">
        <f t="shared" si="63"/>
        <v>10401.142112</v>
      </c>
      <c r="V51" s="374">
        <f t="shared" si="97"/>
        <v>800.14276399999994</v>
      </c>
      <c r="W51" s="373">
        <f t="shared" si="64"/>
        <v>4363.7351230303993</v>
      </c>
      <c r="X51" s="373">
        <f t="shared" si="65"/>
        <v>15601.713167999998</v>
      </c>
      <c r="Y51" s="374">
        <f>H51*0.2</f>
        <v>1040.1142112</v>
      </c>
      <c r="Z51" s="373">
        <f t="shared" si="66"/>
        <v>4123.7636758303997</v>
      </c>
      <c r="AA51" s="373">
        <f t="shared" si="67"/>
        <v>20802.284223999999</v>
      </c>
      <c r="AB51" s="374">
        <f>H51*0.2</f>
        <v>1040.1142112</v>
      </c>
      <c r="AC51" s="373">
        <f t="shared" si="68"/>
        <v>4123.7636758303997</v>
      </c>
      <c r="AD51" s="373">
        <f t="shared" si="69"/>
        <v>26002.85528</v>
      </c>
      <c r="AE51" s="376">
        <f>(AD51-25000)*0.27+(25000-AA51)*0.2</f>
        <v>1110.3140808000003</v>
      </c>
      <c r="AF51" s="373">
        <f t="shared" si="70"/>
        <v>4053.5638062303992</v>
      </c>
      <c r="AG51" s="373">
        <f t="shared" si="71"/>
        <v>31203.426335999997</v>
      </c>
      <c r="AH51" s="376">
        <f t="shared" si="94"/>
        <v>1404.15418512</v>
      </c>
      <c r="AI51" s="373">
        <f t="shared" si="73"/>
        <v>3759.7237019103995</v>
      </c>
      <c r="AJ51" s="373">
        <f t="shared" si="74"/>
        <v>36403.997391999997</v>
      </c>
      <c r="AK51" s="376">
        <f t="shared" si="95"/>
        <v>1404.15418512</v>
      </c>
      <c r="AL51" s="373">
        <f t="shared" si="75"/>
        <v>3759.7237019103995</v>
      </c>
      <c r="AM51" s="373">
        <f t="shared" si="76"/>
        <v>41604.568447999998</v>
      </c>
      <c r="AN51" s="376">
        <f t="shared" si="98"/>
        <v>1404.15418512</v>
      </c>
      <c r="AO51" s="373">
        <f t="shared" si="77"/>
        <v>3759.7237019103995</v>
      </c>
      <c r="AP51" s="373">
        <f t="shared" si="78"/>
        <v>46805.139503999999</v>
      </c>
      <c r="AQ51" s="376">
        <f t="shared" si="99"/>
        <v>1404.15418512</v>
      </c>
      <c r="AR51" s="373">
        <f t="shared" si="79"/>
        <v>3759.7237019103995</v>
      </c>
      <c r="AS51" s="373">
        <f t="shared" si="80"/>
        <v>52005.71056</v>
      </c>
      <c r="AT51" s="376">
        <f>H51*0.27</f>
        <v>1404.15418512</v>
      </c>
      <c r="AU51" s="373">
        <f t="shared" si="81"/>
        <v>3759.7237019103995</v>
      </c>
      <c r="AV51" s="373">
        <f t="shared" si="82"/>
        <v>57206.281616</v>
      </c>
      <c r="AW51" s="376">
        <f>H51*0.27</f>
        <v>1404.15418512</v>
      </c>
      <c r="AX51" s="373">
        <f t="shared" si="83"/>
        <v>3759.7237019103995</v>
      </c>
      <c r="AY51" s="373">
        <f t="shared" si="84"/>
        <v>62406.852671999994</v>
      </c>
      <c r="AZ51" s="376">
        <f t="shared" si="100"/>
        <v>1404.15418512</v>
      </c>
      <c r="BA51" s="373">
        <f t="shared" si="59"/>
        <v>3759.7237019103995</v>
      </c>
      <c r="BB51" s="292"/>
      <c r="BD51" s="358"/>
    </row>
    <row r="52" spans="1:56" ht="42" x14ac:dyDescent="0.45">
      <c r="A52" s="719"/>
      <c r="B52" s="392" t="s">
        <v>199</v>
      </c>
      <c r="C52" s="290">
        <v>125</v>
      </c>
      <c r="D52" s="238">
        <v>3331</v>
      </c>
      <c r="E52" s="238">
        <v>4163</v>
      </c>
      <c r="F52" s="238">
        <f t="shared" si="49"/>
        <v>7494</v>
      </c>
      <c r="G52" s="233">
        <v>359</v>
      </c>
      <c r="H52" s="353">
        <f t="shared" si="60"/>
        <v>4928.6099999999997</v>
      </c>
      <c r="I52" s="391">
        <v>0.5</v>
      </c>
      <c r="J52" s="362">
        <v>3800</v>
      </c>
      <c r="K52" s="361">
        <f t="shared" si="11"/>
        <v>3810.4870739999988</v>
      </c>
      <c r="L52" s="390">
        <v>3810.4870739999988</v>
      </c>
      <c r="M52" s="390">
        <f t="shared" si="50"/>
        <v>0</v>
      </c>
      <c r="N52" s="390"/>
      <c r="O52" s="390">
        <f t="shared" si="13"/>
        <v>-10.487073999998756</v>
      </c>
      <c r="P52" s="390">
        <f t="shared" si="61"/>
        <v>4053.7096531914881</v>
      </c>
      <c r="Q52" s="372">
        <f t="shared" si="51"/>
        <v>34.898226000000001</v>
      </c>
      <c r="R52" s="373">
        <f t="shared" si="52"/>
        <v>4928.6099999999997</v>
      </c>
      <c r="S52" s="378">
        <f t="shared" si="96"/>
        <v>739.29149999999993</v>
      </c>
      <c r="T52" s="373">
        <f t="shared" si="62"/>
        <v>4154.4202739999992</v>
      </c>
      <c r="U52" s="373">
        <f t="shared" si="63"/>
        <v>9857.2199999999993</v>
      </c>
      <c r="V52" s="378">
        <f>H52*0.15</f>
        <v>739.29149999999993</v>
      </c>
      <c r="W52" s="373">
        <f t="shared" si="64"/>
        <v>4154.4202739999992</v>
      </c>
      <c r="X52" s="373">
        <f t="shared" si="65"/>
        <v>14785.829999999998</v>
      </c>
      <c r="Y52" s="374">
        <f>(X52-10000)*0.2+(10000-U52)*0.15</f>
        <v>978.58299999999986</v>
      </c>
      <c r="Z52" s="373">
        <f t="shared" si="66"/>
        <v>3915.1287739999998</v>
      </c>
      <c r="AA52" s="373">
        <f t="shared" si="67"/>
        <v>19714.439999999999</v>
      </c>
      <c r="AB52" s="374">
        <f>H52*0.2</f>
        <v>985.72199999999998</v>
      </c>
      <c r="AC52" s="373">
        <f t="shared" si="68"/>
        <v>3907.9897739999997</v>
      </c>
      <c r="AD52" s="373">
        <f t="shared" si="69"/>
        <v>24643.05</v>
      </c>
      <c r="AE52" s="374">
        <f>H52*0.2</f>
        <v>985.72199999999998</v>
      </c>
      <c r="AF52" s="373">
        <f t="shared" si="70"/>
        <v>3907.9897739999997</v>
      </c>
      <c r="AG52" s="373">
        <f t="shared" si="71"/>
        <v>29571.659999999996</v>
      </c>
      <c r="AH52" s="376">
        <f>(AG52-25000)*0.27+(25000-AD52)*0.2</f>
        <v>1305.7381999999991</v>
      </c>
      <c r="AI52" s="373">
        <f t="shared" si="73"/>
        <v>3587.9735740000006</v>
      </c>
      <c r="AJ52" s="373">
        <f t="shared" si="74"/>
        <v>34500.269999999997</v>
      </c>
      <c r="AK52" s="376">
        <f t="shared" si="95"/>
        <v>1330.7247</v>
      </c>
      <c r="AL52" s="373">
        <f t="shared" si="75"/>
        <v>3562.9870739999997</v>
      </c>
      <c r="AM52" s="373">
        <f t="shared" si="76"/>
        <v>39428.879999999997</v>
      </c>
      <c r="AN52" s="376">
        <f t="shared" si="98"/>
        <v>1330.7247</v>
      </c>
      <c r="AO52" s="373">
        <f t="shared" si="77"/>
        <v>3562.9870739999997</v>
      </c>
      <c r="AP52" s="373">
        <f t="shared" si="78"/>
        <v>44357.49</v>
      </c>
      <c r="AQ52" s="376">
        <f t="shared" si="99"/>
        <v>1330.7247</v>
      </c>
      <c r="AR52" s="373">
        <f t="shared" si="79"/>
        <v>3562.9870739999997</v>
      </c>
      <c r="AS52" s="373">
        <f t="shared" si="80"/>
        <v>49286.1</v>
      </c>
      <c r="AT52" s="376">
        <f>H52*0.27</f>
        <v>1330.7247</v>
      </c>
      <c r="AU52" s="373">
        <f t="shared" si="81"/>
        <v>3562.9870739999997</v>
      </c>
      <c r="AV52" s="373">
        <f t="shared" si="82"/>
        <v>54214.71</v>
      </c>
      <c r="AW52" s="376">
        <f>H52*0.27</f>
        <v>1330.7247</v>
      </c>
      <c r="AX52" s="373">
        <f t="shared" si="83"/>
        <v>3562.9870739999997</v>
      </c>
      <c r="AY52" s="373">
        <f t="shared" si="84"/>
        <v>59143.319999999992</v>
      </c>
      <c r="AZ52" s="376">
        <f t="shared" si="100"/>
        <v>1330.7247</v>
      </c>
      <c r="BA52" s="373">
        <f t="shared" si="59"/>
        <v>3562.9870739999997</v>
      </c>
      <c r="BB52" s="292"/>
      <c r="BD52" s="358"/>
    </row>
    <row r="53" spans="1:56" ht="33.75" customHeight="1" x14ac:dyDescent="0.45">
      <c r="A53" s="752" t="s">
        <v>173</v>
      </c>
      <c r="B53" s="753"/>
      <c r="C53" s="241">
        <v>125</v>
      </c>
      <c r="D53" s="234">
        <v>3330.68</v>
      </c>
      <c r="E53" s="234">
        <v>4163.3499999999995</v>
      </c>
      <c r="F53" s="234">
        <f t="shared" si="49"/>
        <v>7494.0299999999988</v>
      </c>
      <c r="G53" s="233">
        <v>278</v>
      </c>
      <c r="H53" s="353">
        <f t="shared" si="60"/>
        <v>3874.5252899999996</v>
      </c>
      <c r="I53" s="464">
        <v>0.21</v>
      </c>
      <c r="J53" s="362">
        <v>3023</v>
      </c>
      <c r="K53" s="361">
        <f t="shared" si="11"/>
        <v>3048.4967947859991</v>
      </c>
      <c r="L53" s="390">
        <v>3048.4967947859991</v>
      </c>
      <c r="M53" s="390">
        <f t="shared" si="50"/>
        <v>0</v>
      </c>
      <c r="N53" s="390"/>
      <c r="O53" s="390">
        <f t="shared" si="13"/>
        <v>-25.4967947859991</v>
      </c>
      <c r="P53" s="390">
        <f t="shared" si="61"/>
        <v>3243.0816965808503</v>
      </c>
      <c r="Q53" s="372">
        <f t="shared" si="51"/>
        <v>27.406666913999999</v>
      </c>
      <c r="R53" s="373">
        <f t="shared" si="52"/>
        <v>3874.5252899999996</v>
      </c>
      <c r="S53" s="378">
        <f t="shared" si="96"/>
        <v>581.17879349999987</v>
      </c>
      <c r="T53" s="373">
        <f t="shared" si="62"/>
        <v>3265.9398295859996</v>
      </c>
      <c r="U53" s="373">
        <f t="shared" si="63"/>
        <v>7749.0505799999992</v>
      </c>
      <c r="V53" s="378">
        <f>H53*0.15</f>
        <v>581.17879349999987</v>
      </c>
      <c r="W53" s="373">
        <f t="shared" si="64"/>
        <v>3265.9398295859996</v>
      </c>
      <c r="X53" s="373">
        <f t="shared" si="65"/>
        <v>11623.575869999999</v>
      </c>
      <c r="Y53" s="374">
        <f>(X53-10000)*0.2+(10000-U53)*0.15</f>
        <v>662.35758699999985</v>
      </c>
      <c r="Z53" s="373">
        <f t="shared" si="66"/>
        <v>3184.7610360859994</v>
      </c>
      <c r="AA53" s="373">
        <f t="shared" si="67"/>
        <v>15498.101159999998</v>
      </c>
      <c r="AB53" s="374">
        <f t="shared" ref="AB53:AB54" si="101">H53*0.2</f>
        <v>774.90505799999994</v>
      </c>
      <c r="AC53" s="373">
        <f t="shared" si="68"/>
        <v>3072.2135650859996</v>
      </c>
      <c r="AD53" s="373">
        <f t="shared" si="69"/>
        <v>19372.626449999996</v>
      </c>
      <c r="AE53" s="374">
        <f>H53*0.2</f>
        <v>774.90505799999994</v>
      </c>
      <c r="AF53" s="373">
        <f t="shared" si="70"/>
        <v>3072.2135650859996</v>
      </c>
      <c r="AG53" s="373">
        <f t="shared" si="71"/>
        <v>23247.151739999998</v>
      </c>
      <c r="AH53" s="374">
        <f>H53*0.2</f>
        <v>774.90505799999994</v>
      </c>
      <c r="AI53" s="373">
        <f t="shared" si="73"/>
        <v>3072.2135650859996</v>
      </c>
      <c r="AJ53" s="373">
        <f t="shared" si="74"/>
        <v>27121.677029999999</v>
      </c>
      <c r="AK53" s="376">
        <f>(AJ53-25000)*0.27+(25000-AG53)*0.2</f>
        <v>923.42245010000033</v>
      </c>
      <c r="AL53" s="373">
        <f t="shared" si="75"/>
        <v>2923.6961729859991</v>
      </c>
      <c r="AM53" s="373">
        <f t="shared" si="76"/>
        <v>30996.202319999997</v>
      </c>
      <c r="AN53" s="376">
        <f t="shared" si="98"/>
        <v>1046.1218283000001</v>
      </c>
      <c r="AO53" s="373">
        <f t="shared" si="77"/>
        <v>2800.9967947859996</v>
      </c>
      <c r="AP53" s="373">
        <f t="shared" si="78"/>
        <v>34870.727609999994</v>
      </c>
      <c r="AQ53" s="376">
        <f t="shared" si="99"/>
        <v>1046.1218283000001</v>
      </c>
      <c r="AR53" s="373">
        <f t="shared" si="79"/>
        <v>2800.9967947859996</v>
      </c>
      <c r="AS53" s="373">
        <f t="shared" si="80"/>
        <v>38745.252899999992</v>
      </c>
      <c r="AT53" s="376">
        <f t="shared" ref="AT53:AT54" si="102">H53*0.27</f>
        <v>1046.1218283000001</v>
      </c>
      <c r="AU53" s="373">
        <f t="shared" si="81"/>
        <v>2800.9967947859996</v>
      </c>
      <c r="AV53" s="373">
        <f t="shared" si="82"/>
        <v>42619.778189999997</v>
      </c>
      <c r="AW53" s="376">
        <f t="shared" ref="AW53:AW54" si="103">H53*0.27</f>
        <v>1046.1218283000001</v>
      </c>
      <c r="AX53" s="373">
        <f t="shared" si="83"/>
        <v>2800.9967947859996</v>
      </c>
      <c r="AY53" s="373">
        <f t="shared" si="84"/>
        <v>46494.303479999995</v>
      </c>
      <c r="AZ53" s="376">
        <f t="shared" si="100"/>
        <v>1046.1218283000001</v>
      </c>
      <c r="BA53" s="373">
        <f t="shared" si="59"/>
        <v>2800.9967947859996</v>
      </c>
      <c r="BB53" s="292"/>
      <c r="BD53" s="358"/>
    </row>
    <row r="54" spans="1:56" ht="29.25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49"/>
        <v>4996.01</v>
      </c>
      <c r="G54" s="233">
        <v>278</v>
      </c>
      <c r="H54" s="353">
        <f t="shared" si="60"/>
        <v>3699.3255999999997</v>
      </c>
      <c r="I54" s="363">
        <v>0.63</v>
      </c>
      <c r="J54" s="362">
        <v>2822</v>
      </c>
      <c r="K54" s="361">
        <f t="shared" si="11"/>
        <v>2921.7573390399998</v>
      </c>
      <c r="L54" s="390">
        <v>2921.7573390399998</v>
      </c>
      <c r="M54" s="390">
        <f t="shared" si="50"/>
        <v>0</v>
      </c>
      <c r="N54" s="390"/>
      <c r="O54" s="390">
        <f t="shared" si="13"/>
        <v>-99.757339039999806</v>
      </c>
      <c r="P54" s="390">
        <f t="shared" si="61"/>
        <v>3108.2524883404253</v>
      </c>
      <c r="Q54" s="372">
        <f t="shared" si="51"/>
        <v>26.250348959999997</v>
      </c>
      <c r="R54" s="373">
        <f t="shared" si="52"/>
        <v>3699.3255999999997</v>
      </c>
      <c r="S54" s="378">
        <f t="shared" si="96"/>
        <v>554.89883999999995</v>
      </c>
      <c r="T54" s="373">
        <f t="shared" si="62"/>
        <v>3118.1764110399999</v>
      </c>
      <c r="U54" s="373">
        <f t="shared" si="63"/>
        <v>7398.6511999999993</v>
      </c>
      <c r="V54" s="378">
        <f>H54*0.15</f>
        <v>554.89883999999995</v>
      </c>
      <c r="W54" s="373">
        <f t="shared" si="64"/>
        <v>3118.1764110399999</v>
      </c>
      <c r="X54" s="373">
        <f t="shared" si="65"/>
        <v>11097.976799999999</v>
      </c>
      <c r="Y54" s="374">
        <f>(X54-10000)*0.2+(10000-U54)*0.15</f>
        <v>609.79767999999979</v>
      </c>
      <c r="Z54" s="373">
        <f t="shared" si="66"/>
        <v>3063.2775710400001</v>
      </c>
      <c r="AA54" s="373">
        <f t="shared" si="67"/>
        <v>14797.302399999999</v>
      </c>
      <c r="AB54" s="374">
        <f t="shared" si="101"/>
        <v>739.86511999999993</v>
      </c>
      <c r="AC54" s="373">
        <f t="shared" si="68"/>
        <v>2933.2101310399999</v>
      </c>
      <c r="AD54" s="373">
        <f t="shared" si="69"/>
        <v>18496.627999999997</v>
      </c>
      <c r="AE54" s="374">
        <f>H54*0.2</f>
        <v>739.86511999999993</v>
      </c>
      <c r="AF54" s="373">
        <f t="shared" si="70"/>
        <v>2933.2101310399999</v>
      </c>
      <c r="AG54" s="373">
        <f t="shared" si="71"/>
        <v>22195.953599999997</v>
      </c>
      <c r="AH54" s="374">
        <f>H54*0.2</f>
        <v>739.86511999999993</v>
      </c>
      <c r="AI54" s="373">
        <f t="shared" si="73"/>
        <v>2933.2101310399999</v>
      </c>
      <c r="AJ54" s="373">
        <f t="shared" si="74"/>
        <v>25895.279199999997</v>
      </c>
      <c r="AK54" s="376">
        <f>(AJ54-25000)*0.27+(25000-AG54)*0.2</f>
        <v>802.53466399999991</v>
      </c>
      <c r="AL54" s="373">
        <f t="shared" si="75"/>
        <v>2870.54058704</v>
      </c>
      <c r="AM54" s="373">
        <f t="shared" si="76"/>
        <v>29594.604799999997</v>
      </c>
      <c r="AN54" s="376">
        <f t="shared" si="98"/>
        <v>998.81791199999998</v>
      </c>
      <c r="AO54" s="373">
        <f t="shared" si="77"/>
        <v>2674.2573390399998</v>
      </c>
      <c r="AP54" s="373">
        <f t="shared" si="78"/>
        <v>33293.930399999997</v>
      </c>
      <c r="AQ54" s="376">
        <f t="shared" si="99"/>
        <v>998.81791199999998</v>
      </c>
      <c r="AR54" s="373">
        <f t="shared" si="79"/>
        <v>2674.2573390399998</v>
      </c>
      <c r="AS54" s="373">
        <f t="shared" si="80"/>
        <v>36993.255999999994</v>
      </c>
      <c r="AT54" s="376">
        <f t="shared" si="102"/>
        <v>998.81791199999998</v>
      </c>
      <c r="AU54" s="373">
        <f t="shared" si="81"/>
        <v>2674.2573390399998</v>
      </c>
      <c r="AV54" s="373">
        <f t="shared" si="82"/>
        <v>40692.581599999998</v>
      </c>
      <c r="AW54" s="376">
        <f t="shared" si="103"/>
        <v>998.81791199999998</v>
      </c>
      <c r="AX54" s="373">
        <f t="shared" si="83"/>
        <v>2674.2573390399998</v>
      </c>
      <c r="AY54" s="373">
        <f t="shared" si="84"/>
        <v>44391.907199999994</v>
      </c>
      <c r="AZ54" s="376">
        <f t="shared" si="100"/>
        <v>998.81791199999998</v>
      </c>
      <c r="BA54" s="373">
        <f t="shared" si="59"/>
        <v>2674.2573390399998</v>
      </c>
      <c r="BB54" s="292"/>
      <c r="BD54" s="358"/>
    </row>
    <row r="55" spans="1:56" x14ac:dyDescent="0.35">
      <c r="AQ55" s="379"/>
    </row>
  </sheetData>
  <mergeCells count="11">
    <mergeCell ref="A30:A38"/>
    <mergeCell ref="A39:A46"/>
    <mergeCell ref="A47:A52"/>
    <mergeCell ref="A53:B53"/>
    <mergeCell ref="A54:B54"/>
    <mergeCell ref="A28:B28"/>
    <mergeCell ref="A1:F1"/>
    <mergeCell ref="A4:B4"/>
    <mergeCell ref="A6:A14"/>
    <mergeCell ref="A15:A23"/>
    <mergeCell ref="A24:A2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"/>
  <sheetViews>
    <sheetView topLeftCell="A22" zoomScale="50" zoomScaleNormal="50" workbookViewId="0">
      <selection activeCell="I47" sqref="I47"/>
    </sheetView>
  </sheetViews>
  <sheetFormatPr defaultRowHeight="21" x14ac:dyDescent="0.35"/>
  <cols>
    <col min="1" max="1" width="18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3.5703125" customWidth="1"/>
    <col min="10" max="10" width="24.42578125" hidden="1" customWidth="1"/>
    <col min="11" max="11" width="22.85546875" customWidth="1"/>
    <col min="12" max="14" width="22.85546875" hidden="1" customWidth="1"/>
    <col min="15" max="15" width="26" hidden="1" customWidth="1"/>
    <col min="16" max="17" width="26" customWidth="1"/>
    <col min="18" max="18" width="13.28515625" style="130" customWidth="1"/>
    <col min="19" max="19" width="16.140625" style="130" bestFit="1" customWidth="1"/>
    <col min="20" max="20" width="14.140625" style="130" bestFit="1" customWidth="1"/>
    <col min="21" max="22" width="16.140625" style="130" bestFit="1" customWidth="1"/>
    <col min="23" max="23" width="14.140625" style="130" bestFit="1" customWidth="1"/>
    <col min="24" max="25" width="16.140625" style="130" bestFit="1" customWidth="1"/>
    <col min="26" max="26" width="14.140625" style="130" bestFit="1" customWidth="1"/>
    <col min="27" max="28" width="16.140625" style="130" bestFit="1" customWidth="1"/>
    <col min="29" max="29" width="14.140625" style="130" bestFit="1" customWidth="1"/>
    <col min="30" max="31" width="16.140625" style="130" bestFit="1" customWidth="1"/>
    <col min="32" max="32" width="14.140625" style="130" bestFit="1" customWidth="1"/>
    <col min="33" max="33" width="16.140625" style="130" bestFit="1" customWidth="1"/>
    <col min="34" max="34" width="17.7109375" style="130" bestFit="1" customWidth="1"/>
    <col min="35" max="35" width="14.140625" style="130" bestFit="1" customWidth="1"/>
    <col min="36" max="36" width="16.140625" style="130" bestFit="1" customWidth="1"/>
    <col min="37" max="37" width="17.7109375" style="130" bestFit="1" customWidth="1"/>
    <col min="38" max="38" width="14.140625" style="130" bestFit="1" customWidth="1"/>
    <col min="39" max="39" width="16.140625" style="130" bestFit="1" customWidth="1"/>
    <col min="40" max="40" width="17.7109375" style="130" bestFit="1" customWidth="1"/>
    <col min="41" max="41" width="18.7109375" style="130" customWidth="1"/>
    <col min="42" max="42" width="16.140625" style="130" bestFit="1" customWidth="1"/>
    <col min="43" max="43" width="17.7109375" style="130" bestFit="1" customWidth="1"/>
    <col min="44" max="44" width="14.140625" style="130" bestFit="1" customWidth="1"/>
    <col min="45" max="45" width="16.140625" style="130" bestFit="1" customWidth="1"/>
    <col min="46" max="46" width="17.7109375" style="130" bestFit="1" customWidth="1"/>
    <col min="47" max="47" width="14.140625" style="130" bestFit="1" customWidth="1"/>
    <col min="48" max="48" width="16.140625" style="130" bestFit="1" customWidth="1"/>
    <col min="49" max="49" width="17.7109375" style="130" bestFit="1" customWidth="1"/>
    <col min="50" max="50" width="14.140625" style="130" bestFit="1" customWidth="1"/>
    <col min="51" max="51" width="16.140625" style="130" bestFit="1" customWidth="1"/>
    <col min="52" max="52" width="17.7109375" style="130" bestFit="1" customWidth="1"/>
    <col min="53" max="53" width="14.140625" style="130" bestFit="1" customWidth="1"/>
    <col min="54" max="54" width="16.140625" style="130" bestFit="1" customWidth="1"/>
    <col min="57" max="57" width="17.85546875" bestFit="1" customWidth="1"/>
  </cols>
  <sheetData>
    <row r="1" spans="1:57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7" ht="24" hidden="1" thickBot="1" x14ac:dyDescent="0.4">
      <c r="A2" s="192"/>
      <c r="B2" s="2"/>
      <c r="C2" s="2"/>
      <c r="D2" s="2"/>
      <c r="E2" s="2"/>
      <c r="F2" s="2"/>
      <c r="K2" s="385"/>
      <c r="L2" s="385"/>
      <c r="M2" s="385"/>
      <c r="N2" s="385"/>
      <c r="O2" s="385"/>
      <c r="P2" s="385"/>
      <c r="Q2" s="385"/>
    </row>
    <row r="3" spans="1:57" ht="27" hidden="1" thickBot="1" x14ac:dyDescent="0.4">
      <c r="A3" s="236" t="s">
        <v>1</v>
      </c>
      <c r="B3" s="4"/>
      <c r="C3" s="4"/>
      <c r="D3" s="4"/>
      <c r="E3" s="4"/>
      <c r="F3" s="4"/>
    </row>
    <row r="4" spans="1:57" ht="65.25" customHeight="1" x14ac:dyDescent="0.25">
      <c r="A4" s="726" t="s">
        <v>2</v>
      </c>
      <c r="B4" s="726"/>
      <c r="C4" s="475" t="s">
        <v>3</v>
      </c>
      <c r="D4" s="475" t="s">
        <v>229</v>
      </c>
      <c r="E4" s="475" t="s">
        <v>253</v>
      </c>
      <c r="F4" s="475" t="s">
        <v>231</v>
      </c>
      <c r="G4" s="395" t="s">
        <v>244</v>
      </c>
      <c r="H4" s="395" t="s">
        <v>249</v>
      </c>
      <c r="I4" s="352" t="s">
        <v>37</v>
      </c>
      <c r="J4" s="364" t="s">
        <v>279</v>
      </c>
      <c r="K4" s="364" t="s">
        <v>290</v>
      </c>
      <c r="L4" s="389"/>
      <c r="M4" s="389"/>
      <c r="N4" s="389"/>
      <c r="O4" s="389" t="s">
        <v>283</v>
      </c>
      <c r="P4" s="364" t="s">
        <v>291</v>
      </c>
      <c r="Q4" s="389" t="s">
        <v>288</v>
      </c>
      <c r="R4" s="365" t="s">
        <v>245</v>
      </c>
      <c r="S4" s="365">
        <v>1</v>
      </c>
      <c r="T4" s="365" t="s">
        <v>255</v>
      </c>
      <c r="U4" s="365" t="s">
        <v>267</v>
      </c>
      <c r="V4" s="365">
        <v>2</v>
      </c>
      <c r="W4" s="365" t="s">
        <v>256</v>
      </c>
      <c r="X4" s="365" t="s">
        <v>268</v>
      </c>
      <c r="Y4" s="365">
        <v>3</v>
      </c>
      <c r="Z4" s="365" t="s">
        <v>257</v>
      </c>
      <c r="AA4" s="365" t="s">
        <v>278</v>
      </c>
      <c r="AB4" s="365">
        <v>4</v>
      </c>
      <c r="AC4" s="365" t="s">
        <v>258</v>
      </c>
      <c r="AD4" s="365" t="s">
        <v>277</v>
      </c>
      <c r="AE4" s="365">
        <v>5</v>
      </c>
      <c r="AF4" s="365" t="s">
        <v>259</v>
      </c>
      <c r="AG4" s="365" t="s">
        <v>276</v>
      </c>
      <c r="AH4" s="365">
        <v>6</v>
      </c>
      <c r="AI4" s="365" t="s">
        <v>260</v>
      </c>
      <c r="AJ4" s="365" t="s">
        <v>275</v>
      </c>
      <c r="AK4" s="365">
        <v>7</v>
      </c>
      <c r="AL4" s="365" t="s">
        <v>261</v>
      </c>
      <c r="AM4" s="365" t="s">
        <v>274</v>
      </c>
      <c r="AN4" s="365">
        <v>8</v>
      </c>
      <c r="AO4" s="365" t="s">
        <v>262</v>
      </c>
      <c r="AP4" s="365" t="s">
        <v>273</v>
      </c>
      <c r="AQ4" s="365">
        <v>9</v>
      </c>
      <c r="AR4" s="365" t="s">
        <v>263</v>
      </c>
      <c r="AS4" s="365" t="s">
        <v>272</v>
      </c>
      <c r="AT4" s="365">
        <v>10</v>
      </c>
      <c r="AU4" s="365" t="s">
        <v>264</v>
      </c>
      <c r="AV4" s="365" t="s">
        <v>271</v>
      </c>
      <c r="AW4" s="365">
        <v>11</v>
      </c>
      <c r="AX4" s="365" t="s">
        <v>265</v>
      </c>
      <c r="AY4" s="365" t="s">
        <v>270</v>
      </c>
      <c r="AZ4" s="365">
        <v>12</v>
      </c>
      <c r="BA4" s="366" t="s">
        <v>266</v>
      </c>
      <c r="BB4" s="366" t="s">
        <v>269</v>
      </c>
    </row>
    <row r="5" spans="1:57" s="233" customFormat="1" ht="33.75" customHeight="1" x14ac:dyDescent="0.45">
      <c r="A5" s="229"/>
      <c r="B5" s="346"/>
      <c r="C5" s="231"/>
      <c r="D5" s="231"/>
      <c r="E5" s="231"/>
      <c r="F5" s="231"/>
      <c r="H5" s="357">
        <v>0.93</v>
      </c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1"/>
    </row>
    <row r="6" spans="1:57" s="233" customFormat="1" ht="30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18227.499739999999</v>
      </c>
      <c r="I6" s="463">
        <v>0.7</v>
      </c>
      <c r="J6" s="362">
        <v>12600</v>
      </c>
      <c r="K6" s="361">
        <f>((U6+X6+AA6+AD6+AG6+AJ6+AM6+AP6+AS6+AV6+AY6+BB6)/12)+60</f>
        <v>12559.370599382668</v>
      </c>
      <c r="L6" s="390">
        <v>12559.370599382668</v>
      </c>
      <c r="M6" s="390">
        <f>L6-K6</f>
        <v>0</v>
      </c>
      <c r="N6" s="390"/>
      <c r="O6" s="390">
        <f t="shared" ref="O6:O28" si="0">K6/0.93</f>
        <v>13504.699569228675</v>
      </c>
      <c r="P6" s="390"/>
      <c r="Q6" s="390"/>
      <c r="R6" s="372">
        <f t="shared" ref="R6:R28" si="1">(H6+G6)*0.0066</f>
        <v>122.67089828399999</v>
      </c>
      <c r="S6" s="373">
        <f t="shared" ref="S6:S28" si="2">$H6*S$4</f>
        <v>18227.499739999999</v>
      </c>
      <c r="T6" s="374">
        <f>(S6-10000)*0.2+10000*0.15</f>
        <v>3145.4999479999997</v>
      </c>
      <c r="U6" s="373">
        <f>H6-R6-T6</f>
        <v>14959.328893716</v>
      </c>
      <c r="V6" s="373">
        <f>H6*2</f>
        <v>36454.999479999999</v>
      </c>
      <c r="W6" s="376">
        <f>(V6-25000)*0.27+4500-T6</f>
        <v>4447.3499116000003</v>
      </c>
      <c r="X6" s="373">
        <f t="shared" ref="X6:X28" si="3">H6-R6-W6</f>
        <v>13657.478930116</v>
      </c>
      <c r="Y6" s="373">
        <f t="shared" ref="Y6:Y28" si="4">H6*3</f>
        <v>54682.499219999998</v>
      </c>
      <c r="Z6" s="376">
        <f>S6*0.27</f>
        <v>4921.4249298000004</v>
      </c>
      <c r="AA6" s="373">
        <f t="shared" ref="AA6:AA28" si="5">H6-R6-Z6</f>
        <v>13183.403911916001</v>
      </c>
      <c r="AB6" s="373">
        <f t="shared" ref="AB6:AB28" si="6">H6*4</f>
        <v>72909.998959999997</v>
      </c>
      <c r="AC6" s="376">
        <f t="shared" ref="AC6:AC22" si="7">H6*0.27</f>
        <v>4921.4249298000004</v>
      </c>
      <c r="AD6" s="373">
        <f>H6-R6-AC6</f>
        <v>13183.403911916001</v>
      </c>
      <c r="AE6" s="373">
        <f>H6*5</f>
        <v>91137.498699999996</v>
      </c>
      <c r="AF6" s="377">
        <f>(AE6-88000)*0.35+(88000-AB6)*0.27</f>
        <v>5172.4248257999998</v>
      </c>
      <c r="AG6" s="373">
        <f>H6-R6-AF6</f>
        <v>12932.404015915999</v>
      </c>
      <c r="AH6" s="373">
        <f>H6*6</f>
        <v>109364.99844</v>
      </c>
      <c r="AI6" s="377">
        <f>$H$6*0.35</f>
        <v>6379.6249089999992</v>
      </c>
      <c r="AJ6" s="373">
        <f>H6-R6-AI6</f>
        <v>11725.203932716002</v>
      </c>
      <c r="AK6" s="373">
        <f>H6*7</f>
        <v>127592.49818</v>
      </c>
      <c r="AL6" s="377">
        <f>$H$6*0.35</f>
        <v>6379.6249089999992</v>
      </c>
      <c r="AM6" s="373">
        <f>H6-R6-AL6</f>
        <v>11725.203932716002</v>
      </c>
      <c r="AN6" s="373">
        <f t="shared" ref="AN6:AN28" si="8">H6*8</f>
        <v>145819.99791999999</v>
      </c>
      <c r="AO6" s="377">
        <f>$H$6*0.35</f>
        <v>6379.6249089999992</v>
      </c>
      <c r="AP6" s="373">
        <f>H6-R6-AO6</f>
        <v>11725.203932716002</v>
      </c>
      <c r="AQ6" s="373">
        <f>H6*9</f>
        <v>164047.49765999999</v>
      </c>
      <c r="AR6" s="377">
        <f>$H$6*0.35</f>
        <v>6379.6249089999992</v>
      </c>
      <c r="AS6" s="373">
        <f>H6-R6-AR6</f>
        <v>11725.203932716002</v>
      </c>
      <c r="AT6" s="373">
        <f>H6*10</f>
        <v>182274.99739999999</v>
      </c>
      <c r="AU6" s="377">
        <f>$H$6*0.35</f>
        <v>6379.6249089999992</v>
      </c>
      <c r="AV6" s="373">
        <f>H6-R6-AU6</f>
        <v>11725.203932716002</v>
      </c>
      <c r="AW6" s="373">
        <f>H6*11</f>
        <v>200502.49713999999</v>
      </c>
      <c r="AX6" s="377">
        <f>$H$6*0.35</f>
        <v>6379.6249089999992</v>
      </c>
      <c r="AY6" s="373">
        <f t="shared" ref="AY6:AY28" si="9">H6-R6-AX6</f>
        <v>11725.203932716002</v>
      </c>
      <c r="AZ6" s="373">
        <f t="shared" ref="AZ6:AZ28" si="10">H6*12</f>
        <v>218729.99687999999</v>
      </c>
      <c r="BA6" s="377">
        <f>$H$6*0.35</f>
        <v>6379.6249089999992</v>
      </c>
      <c r="BB6" s="373">
        <f>H6-R6-BA6</f>
        <v>11725.203932716002</v>
      </c>
      <c r="BC6" s="371"/>
      <c r="BE6" s="358"/>
    </row>
    <row r="7" spans="1:57" s="233" customFormat="1" ht="30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11924.021305999999</v>
      </c>
      <c r="I7" s="363">
        <v>0.33</v>
      </c>
      <c r="J7" s="362">
        <v>8500</v>
      </c>
      <c r="K7" s="361">
        <f t="shared" ref="K7:K54" si="11">((U7+X7+AA7+AD7+AG7+AJ7+AM7+AP7+AS7+AV7+AY7+BB7)/12)+60</f>
        <v>8503.712574947067</v>
      </c>
      <c r="L7" s="390">
        <v>8503.712574947067</v>
      </c>
      <c r="M7" s="390">
        <f t="shared" ref="M7:M28" si="12">L7-K7</f>
        <v>0</v>
      </c>
      <c r="N7" s="390"/>
      <c r="O7" s="390">
        <f t="shared" si="0"/>
        <v>9143.7769623086733</v>
      </c>
      <c r="P7" s="390"/>
      <c r="Q7" s="390"/>
      <c r="R7" s="372">
        <f t="shared" si="1"/>
        <v>81.067940619599995</v>
      </c>
      <c r="S7" s="373">
        <f t="shared" si="2"/>
        <v>11924.021305999999</v>
      </c>
      <c r="T7" s="374">
        <f>(S7-10000)*0.2+1500</f>
        <v>1884.8042611999997</v>
      </c>
      <c r="U7" s="373">
        <f t="shared" ref="U7:U28" si="13">H7-R7-T7</f>
        <v>9958.1491041804002</v>
      </c>
      <c r="V7" s="373">
        <f t="shared" ref="V7:V28" si="14">H7*2</f>
        <v>23848.042611999997</v>
      </c>
      <c r="W7" s="374">
        <f>H7*0.2</f>
        <v>2384.8042611999999</v>
      </c>
      <c r="X7" s="373">
        <f t="shared" si="3"/>
        <v>9458.1491041804002</v>
      </c>
      <c r="Y7" s="373">
        <f t="shared" si="4"/>
        <v>35772.063918</v>
      </c>
      <c r="Z7" s="376">
        <f>(25000-V7)*0.2+(Y7-25000)*0.27</f>
        <v>3138.8487354600006</v>
      </c>
      <c r="AA7" s="373">
        <f t="shared" si="5"/>
        <v>8704.104629920399</v>
      </c>
      <c r="AB7" s="373">
        <f t="shared" si="6"/>
        <v>47696.085223999995</v>
      </c>
      <c r="AC7" s="376">
        <f t="shared" si="7"/>
        <v>3219.4857526199999</v>
      </c>
      <c r="AD7" s="373">
        <f t="shared" ref="AD7:AD28" si="15">H7-R7-AC7</f>
        <v>8623.4676127603998</v>
      </c>
      <c r="AE7" s="373">
        <f t="shared" ref="AE7:AE28" si="16">H7*5</f>
        <v>59620.10652999999</v>
      </c>
      <c r="AF7" s="376">
        <f t="shared" ref="AF7:AF24" si="17">H7*0.27</f>
        <v>3219.4857526199999</v>
      </c>
      <c r="AG7" s="373">
        <f t="shared" ref="AG7:AG28" si="18">H7-R7-AF7</f>
        <v>8623.4676127603998</v>
      </c>
      <c r="AH7" s="373">
        <f t="shared" ref="AH7:AH28" si="19">H7*6</f>
        <v>71544.127836</v>
      </c>
      <c r="AI7" s="376">
        <f t="shared" ref="AI7:AI14" si="20">H7*0.27</f>
        <v>3219.4857526199999</v>
      </c>
      <c r="AJ7" s="373">
        <f t="shared" ref="AJ7:AJ28" si="21">H7-R7-AI7</f>
        <v>8623.4676127603998</v>
      </c>
      <c r="AK7" s="373">
        <f t="shared" ref="AK7:AK28" si="22">H7*7</f>
        <v>83468.149141999995</v>
      </c>
      <c r="AL7" s="376">
        <f>H7*0.27</f>
        <v>3219.4857526199999</v>
      </c>
      <c r="AM7" s="373">
        <f t="shared" ref="AM7:AM28" si="23">H7-R7-AL7</f>
        <v>8623.4676127603998</v>
      </c>
      <c r="AN7" s="373">
        <f t="shared" si="8"/>
        <v>95392.17044799999</v>
      </c>
      <c r="AO7" s="377">
        <f>(AN7-88000)*0.35+(88000-AK7)*0.27</f>
        <v>3810.8593884599977</v>
      </c>
      <c r="AP7" s="373">
        <f t="shared" ref="AP7:AP28" si="24">H7-R7-AO7</f>
        <v>8032.0939769204015</v>
      </c>
      <c r="AQ7" s="373">
        <f t="shared" ref="AQ7:AQ28" si="25">H7*9</f>
        <v>107316.19175399998</v>
      </c>
      <c r="AR7" s="377">
        <f>H7*0.35</f>
        <v>4173.4074570999992</v>
      </c>
      <c r="AS7" s="373">
        <f t="shared" ref="AS7:AS28" si="26">H7-R7-AR7</f>
        <v>7669.5459082804</v>
      </c>
      <c r="AT7" s="373">
        <f t="shared" ref="AT7:AT28" si="27">H7*10</f>
        <v>119240.21305999998</v>
      </c>
      <c r="AU7" s="377">
        <f t="shared" ref="AU7:AU12" si="28">H7*0.35</f>
        <v>4173.4074570999992</v>
      </c>
      <c r="AV7" s="373">
        <f t="shared" ref="AV7:AV28" si="29">H7-R7-AU7</f>
        <v>7669.5459082804</v>
      </c>
      <c r="AW7" s="373">
        <f t="shared" ref="AW7:AW28" si="30">H7*11</f>
        <v>131164.23436599999</v>
      </c>
      <c r="AX7" s="377">
        <f t="shared" ref="AX7:AX22" si="31">H7*0.35</f>
        <v>4173.4074570999992</v>
      </c>
      <c r="AY7" s="373">
        <f t="shared" si="9"/>
        <v>7669.5459082804</v>
      </c>
      <c r="AZ7" s="373">
        <f t="shared" si="10"/>
        <v>143088.255672</v>
      </c>
      <c r="BA7" s="377">
        <f t="shared" ref="BA7" si="32">AX7</f>
        <v>4173.4074570999992</v>
      </c>
      <c r="BB7" s="373">
        <f t="shared" ref="BB7:BB28" si="33">H7-R7-BA7</f>
        <v>7669.5459082804</v>
      </c>
      <c r="BC7" s="371"/>
      <c r="BE7" s="358"/>
    </row>
    <row r="8" spans="1:57" s="233" customFormat="1" ht="30" customHeight="1" x14ac:dyDescent="0.45">
      <c r="A8" s="728"/>
      <c r="B8" s="474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34">D8+E8*$H$5*$I8-G8</f>
        <v>9709.2856400000001</v>
      </c>
      <c r="I8" s="363">
        <v>0.2</v>
      </c>
      <c r="J8" s="362">
        <v>7066</v>
      </c>
      <c r="K8" s="361">
        <f t="shared" si="11"/>
        <v>7078.7516474426657</v>
      </c>
      <c r="L8" s="390">
        <v>7078.7516474426657</v>
      </c>
      <c r="M8" s="390">
        <f t="shared" si="12"/>
        <v>0</v>
      </c>
      <c r="N8" s="390"/>
      <c r="O8" s="390">
        <f t="shared" si="0"/>
        <v>7611.560911228672</v>
      </c>
      <c r="P8" s="390"/>
      <c r="Q8" s="390"/>
      <c r="R8" s="372">
        <f t="shared" si="1"/>
        <v>66.450685223999997</v>
      </c>
      <c r="S8" s="373">
        <f t="shared" si="2"/>
        <v>9709.2856400000001</v>
      </c>
      <c r="T8" s="378">
        <f>H8*0.15</f>
        <v>1456.392846</v>
      </c>
      <c r="U8" s="373">
        <f t="shared" si="13"/>
        <v>8186.4421087760011</v>
      </c>
      <c r="V8" s="373">
        <f t="shared" si="14"/>
        <v>19418.57128</v>
      </c>
      <c r="W8" s="374">
        <f t="shared" ref="W8" si="35">(V8-10000)*0.2+(10000-S8)*0.15</f>
        <v>1927.3214100000002</v>
      </c>
      <c r="X8" s="373">
        <f t="shared" si="3"/>
        <v>7715.5135447760003</v>
      </c>
      <c r="Y8" s="373">
        <f t="shared" si="4"/>
        <v>29127.856919999998</v>
      </c>
      <c r="Z8" s="376">
        <f>(Y8-25000)*0.27+(25000-V8)*0.2</f>
        <v>2230.8071123999998</v>
      </c>
      <c r="AA8" s="373">
        <f t="shared" si="5"/>
        <v>7412.027842376001</v>
      </c>
      <c r="AB8" s="373">
        <f t="shared" si="6"/>
        <v>38837.14256</v>
      </c>
      <c r="AC8" s="376">
        <f t="shared" si="7"/>
        <v>2621.5071228000002</v>
      </c>
      <c r="AD8" s="373">
        <f t="shared" si="15"/>
        <v>7021.3278319760011</v>
      </c>
      <c r="AE8" s="373">
        <f t="shared" si="16"/>
        <v>48546.428200000002</v>
      </c>
      <c r="AF8" s="376">
        <f t="shared" si="17"/>
        <v>2621.5071228000002</v>
      </c>
      <c r="AG8" s="373">
        <f t="shared" si="18"/>
        <v>7021.3278319760011</v>
      </c>
      <c r="AH8" s="373">
        <f t="shared" si="19"/>
        <v>58255.713839999997</v>
      </c>
      <c r="AI8" s="376">
        <f t="shared" si="20"/>
        <v>2621.5071228000002</v>
      </c>
      <c r="AJ8" s="373">
        <f t="shared" si="21"/>
        <v>7021.3278319760011</v>
      </c>
      <c r="AK8" s="373">
        <f t="shared" si="22"/>
        <v>67964.999479999999</v>
      </c>
      <c r="AL8" s="376">
        <f>H8*0.27</f>
        <v>2621.5071228000002</v>
      </c>
      <c r="AM8" s="373">
        <f t="shared" si="23"/>
        <v>7021.3278319760011</v>
      </c>
      <c r="AN8" s="373">
        <f t="shared" si="8"/>
        <v>77674.28512</v>
      </c>
      <c r="AO8" s="376">
        <f>H8*0.27</f>
        <v>2621.5071228000002</v>
      </c>
      <c r="AP8" s="373">
        <f t="shared" si="24"/>
        <v>7021.3278319760011</v>
      </c>
      <c r="AQ8" s="373">
        <f t="shared" si="25"/>
        <v>87383.570760000002</v>
      </c>
      <c r="AR8" s="377">
        <f>(AQ8-88000)*0.35+(88000-AN8)*0.27</f>
        <v>2572.1927836000009</v>
      </c>
      <c r="AS8" s="373">
        <f t="shared" si="26"/>
        <v>7070.6421711759995</v>
      </c>
      <c r="AT8" s="373">
        <f t="shared" si="27"/>
        <v>97092.856400000004</v>
      </c>
      <c r="AU8" s="377">
        <f t="shared" si="28"/>
        <v>3398.2499739999998</v>
      </c>
      <c r="AV8" s="373">
        <f t="shared" si="29"/>
        <v>6244.5849807760005</v>
      </c>
      <c r="AW8" s="373">
        <f t="shared" si="30"/>
        <v>106802.14204000001</v>
      </c>
      <c r="AX8" s="377">
        <f t="shared" si="31"/>
        <v>3398.2499739999998</v>
      </c>
      <c r="AY8" s="373">
        <f t="shared" si="9"/>
        <v>6244.5849807760005</v>
      </c>
      <c r="AZ8" s="373">
        <f t="shared" si="10"/>
        <v>116511.42767999999</v>
      </c>
      <c r="BA8" s="377">
        <f t="shared" ref="BA8:BA22" si="36">H8*0.35</f>
        <v>3398.2499739999998</v>
      </c>
      <c r="BB8" s="373">
        <f t="shared" si="33"/>
        <v>6244.5849807760005</v>
      </c>
      <c r="BC8" s="371"/>
      <c r="BE8" s="358"/>
    </row>
    <row r="9" spans="1:57" s="233" customFormat="1" ht="30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37">D9+E9</f>
        <v>19983.72</v>
      </c>
      <c r="G9" s="233">
        <v>359</v>
      </c>
      <c r="H9" s="353">
        <f t="shared" si="34"/>
        <v>14107.781648</v>
      </c>
      <c r="I9" s="363">
        <v>0.63</v>
      </c>
      <c r="J9" s="362">
        <v>9900</v>
      </c>
      <c r="K9" s="361">
        <f t="shared" si="11"/>
        <v>9908.743978989869</v>
      </c>
      <c r="L9" s="390">
        <v>9908.743978989869</v>
      </c>
      <c r="M9" s="390">
        <f t="shared" si="12"/>
        <v>0</v>
      </c>
      <c r="N9" s="390"/>
      <c r="O9" s="390">
        <f t="shared" si="0"/>
        <v>10654.563418268675</v>
      </c>
      <c r="P9" s="390"/>
      <c r="Q9" s="390"/>
      <c r="R9" s="372">
        <f t="shared" si="1"/>
        <v>95.480758876799996</v>
      </c>
      <c r="S9" s="373">
        <f t="shared" si="2"/>
        <v>14107.781648</v>
      </c>
      <c r="T9" s="374">
        <f t="shared" ref="T9:T20" si="38">(S9-10000)*0.2+10000*0.15</f>
        <v>2321.5563296</v>
      </c>
      <c r="U9" s="373">
        <f t="shared" si="13"/>
        <v>11690.7445595232</v>
      </c>
      <c r="V9" s="373">
        <f t="shared" si="14"/>
        <v>28215.563296</v>
      </c>
      <c r="W9" s="376">
        <f>(V9-25000)*0.27+(25000-S9)*0.2</f>
        <v>3046.6457603200001</v>
      </c>
      <c r="X9" s="373">
        <f t="shared" si="3"/>
        <v>10965.655128803201</v>
      </c>
      <c r="Y9" s="373">
        <f t="shared" si="4"/>
        <v>42323.344943999997</v>
      </c>
      <c r="Z9" s="376">
        <f t="shared" ref="Z9:Z10" si="39">S9*0.27</f>
        <v>3809.1010449600003</v>
      </c>
      <c r="AA9" s="373">
        <f t="shared" si="5"/>
        <v>10203.1998441632</v>
      </c>
      <c r="AB9" s="373">
        <f t="shared" si="6"/>
        <v>56431.126592000001</v>
      </c>
      <c r="AC9" s="376">
        <f t="shared" si="7"/>
        <v>3809.1010449600003</v>
      </c>
      <c r="AD9" s="373">
        <f t="shared" si="15"/>
        <v>10203.1998441632</v>
      </c>
      <c r="AE9" s="373">
        <f t="shared" si="16"/>
        <v>70538.908240000004</v>
      </c>
      <c r="AF9" s="376">
        <f t="shared" si="17"/>
        <v>3809.1010449600003</v>
      </c>
      <c r="AG9" s="373">
        <f t="shared" si="18"/>
        <v>10203.1998441632</v>
      </c>
      <c r="AH9" s="373">
        <f t="shared" si="19"/>
        <v>84646.689887999994</v>
      </c>
      <c r="AI9" s="376">
        <f t="shared" si="20"/>
        <v>3809.1010449600003</v>
      </c>
      <c r="AJ9" s="373">
        <f t="shared" si="21"/>
        <v>10203.1998441632</v>
      </c>
      <c r="AK9" s="373">
        <f t="shared" si="22"/>
        <v>98754.471535999997</v>
      </c>
      <c r="AL9" s="377">
        <f>(AK9-88000)*0.35+(88000-AH9)*0.27</f>
        <v>4669.4587678400003</v>
      </c>
      <c r="AM9" s="373">
        <f t="shared" si="23"/>
        <v>9342.8421212832</v>
      </c>
      <c r="AN9" s="373">
        <f t="shared" si="8"/>
        <v>112862.253184</v>
      </c>
      <c r="AO9" s="377">
        <f>H9*0.35</f>
        <v>4937.7235768</v>
      </c>
      <c r="AP9" s="373">
        <f t="shared" si="24"/>
        <v>9074.5773123231993</v>
      </c>
      <c r="AQ9" s="373">
        <f t="shared" si="25"/>
        <v>126970.034832</v>
      </c>
      <c r="AR9" s="377">
        <f>H9*0.35</f>
        <v>4937.7235768</v>
      </c>
      <c r="AS9" s="373">
        <f t="shared" si="26"/>
        <v>9074.5773123231993</v>
      </c>
      <c r="AT9" s="373">
        <f t="shared" si="27"/>
        <v>141077.81648000001</v>
      </c>
      <c r="AU9" s="377">
        <f t="shared" si="28"/>
        <v>4937.7235768</v>
      </c>
      <c r="AV9" s="373">
        <f t="shared" si="29"/>
        <v>9074.5773123231993</v>
      </c>
      <c r="AW9" s="373">
        <f t="shared" si="30"/>
        <v>155185.59812800001</v>
      </c>
      <c r="AX9" s="377">
        <f t="shared" si="31"/>
        <v>4937.7235768</v>
      </c>
      <c r="AY9" s="373">
        <f t="shared" si="9"/>
        <v>9074.5773123231993</v>
      </c>
      <c r="AZ9" s="373">
        <f t="shared" si="10"/>
        <v>169293.37977599999</v>
      </c>
      <c r="BA9" s="377">
        <f t="shared" si="36"/>
        <v>4937.7235768</v>
      </c>
      <c r="BB9" s="373">
        <f t="shared" si="33"/>
        <v>9074.5773123231993</v>
      </c>
      <c r="BC9" s="371"/>
      <c r="BE9" s="358"/>
    </row>
    <row r="10" spans="1:57" s="233" customFormat="1" ht="30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37"/>
        <v>19983.72</v>
      </c>
      <c r="G10" s="233">
        <v>359</v>
      </c>
      <c r="H10" s="353">
        <f t="shared" si="34"/>
        <v>12497.0648</v>
      </c>
      <c r="I10" s="463">
        <v>0.5</v>
      </c>
      <c r="J10" s="362">
        <v>8900</v>
      </c>
      <c r="K10" s="361">
        <f t="shared" si="11"/>
        <v>8872.3745149866663</v>
      </c>
      <c r="L10" s="390">
        <v>8872.3745149866663</v>
      </c>
      <c r="M10" s="390">
        <f t="shared" si="12"/>
        <v>0</v>
      </c>
      <c r="N10" s="390"/>
      <c r="O10" s="390">
        <f t="shared" si="0"/>
        <v>9540.1876505232958</v>
      </c>
      <c r="P10" s="390"/>
      <c r="Q10" s="390"/>
      <c r="R10" s="372">
        <f t="shared" si="1"/>
        <v>84.850027679999997</v>
      </c>
      <c r="S10" s="373">
        <f t="shared" si="2"/>
        <v>12497.0648</v>
      </c>
      <c r="T10" s="374">
        <f t="shared" si="38"/>
        <v>1999.4129600000001</v>
      </c>
      <c r="U10" s="373">
        <f t="shared" si="13"/>
        <v>10412.80181232</v>
      </c>
      <c r="V10" s="373">
        <f t="shared" si="14"/>
        <v>24994.1296</v>
      </c>
      <c r="W10" s="376">
        <f>H10*0.2</f>
        <v>2499.4129600000001</v>
      </c>
      <c r="X10" s="373">
        <f t="shared" si="3"/>
        <v>9912.80181232</v>
      </c>
      <c r="Y10" s="373">
        <f t="shared" si="4"/>
        <v>37491.1944</v>
      </c>
      <c r="Z10" s="376">
        <f t="shared" si="39"/>
        <v>3374.2074960000004</v>
      </c>
      <c r="AA10" s="373">
        <f t="shared" si="5"/>
        <v>9038.0072763199987</v>
      </c>
      <c r="AB10" s="373">
        <f t="shared" si="6"/>
        <v>49988.2592</v>
      </c>
      <c r="AC10" s="376">
        <f t="shared" si="7"/>
        <v>3374.2074960000004</v>
      </c>
      <c r="AD10" s="373">
        <f t="shared" si="15"/>
        <v>9038.0072763199987</v>
      </c>
      <c r="AE10" s="373">
        <f t="shared" si="16"/>
        <v>62485.324000000001</v>
      </c>
      <c r="AF10" s="376">
        <f t="shared" si="17"/>
        <v>3374.2074960000004</v>
      </c>
      <c r="AG10" s="373">
        <f t="shared" si="18"/>
        <v>9038.0072763199987</v>
      </c>
      <c r="AH10" s="373">
        <f t="shared" si="19"/>
        <v>74982.388800000001</v>
      </c>
      <c r="AI10" s="376">
        <f t="shared" si="20"/>
        <v>3374.2074960000004</v>
      </c>
      <c r="AJ10" s="373">
        <f t="shared" si="21"/>
        <v>9038.0072763199987</v>
      </c>
      <c r="AK10" s="373">
        <f t="shared" si="22"/>
        <v>87479.453600000008</v>
      </c>
      <c r="AL10" s="376">
        <f>H10*0.27</f>
        <v>3374.2074960000004</v>
      </c>
      <c r="AM10" s="373">
        <f t="shared" si="23"/>
        <v>9038.0072763199987</v>
      </c>
      <c r="AN10" s="373">
        <f t="shared" si="8"/>
        <v>99976.518400000001</v>
      </c>
      <c r="AO10" s="377">
        <f>(AN10-88000)*0.35+(88000-AK10)*0.27</f>
        <v>4332.328967999998</v>
      </c>
      <c r="AP10" s="373">
        <f t="shared" si="24"/>
        <v>8079.8858043200016</v>
      </c>
      <c r="AQ10" s="373">
        <f t="shared" si="25"/>
        <v>112473.58319999999</v>
      </c>
      <c r="AR10" s="377">
        <f>H10*0.35</f>
        <v>4373.9726799999999</v>
      </c>
      <c r="AS10" s="373">
        <f t="shared" si="26"/>
        <v>8038.2420923199998</v>
      </c>
      <c r="AT10" s="373">
        <f t="shared" si="27"/>
        <v>124970.648</v>
      </c>
      <c r="AU10" s="377">
        <f t="shared" si="28"/>
        <v>4373.9726799999999</v>
      </c>
      <c r="AV10" s="373">
        <f t="shared" si="29"/>
        <v>8038.2420923199998</v>
      </c>
      <c r="AW10" s="373">
        <f t="shared" si="30"/>
        <v>137467.71280000001</v>
      </c>
      <c r="AX10" s="377">
        <f t="shared" si="31"/>
        <v>4373.9726799999999</v>
      </c>
      <c r="AY10" s="373">
        <f t="shared" si="9"/>
        <v>8038.2420923199998</v>
      </c>
      <c r="AZ10" s="373">
        <f t="shared" si="10"/>
        <v>149964.7776</v>
      </c>
      <c r="BA10" s="377">
        <f t="shared" si="36"/>
        <v>4373.9726799999999</v>
      </c>
      <c r="BB10" s="373">
        <f t="shared" si="33"/>
        <v>8038.2420923199998</v>
      </c>
      <c r="BC10" s="371"/>
      <c r="BE10" s="358"/>
    </row>
    <row r="11" spans="1:57" s="233" customFormat="1" ht="30" customHeight="1" x14ac:dyDescent="0.45">
      <c r="A11" s="728"/>
      <c r="B11" s="474" t="s">
        <v>234</v>
      </c>
      <c r="C11" s="231">
        <v>300</v>
      </c>
      <c r="D11" s="238">
        <v>6661</v>
      </c>
      <c r="E11" s="234">
        <v>9992.0399999999991</v>
      </c>
      <c r="F11" s="234">
        <f t="shared" si="37"/>
        <v>16653.04</v>
      </c>
      <c r="G11" s="233">
        <v>359</v>
      </c>
      <c r="H11" s="353">
        <f t="shared" si="34"/>
        <v>10204.890824</v>
      </c>
      <c r="I11" s="463">
        <v>0.42</v>
      </c>
      <c r="J11" s="362">
        <v>7400</v>
      </c>
      <c r="K11" s="361">
        <f t="shared" si="11"/>
        <v>7397.624022828265</v>
      </c>
      <c r="L11" s="390">
        <v>7397.624022828265</v>
      </c>
      <c r="M11" s="390">
        <f t="shared" si="12"/>
        <v>0</v>
      </c>
      <c r="N11" s="390"/>
      <c r="O11" s="390">
        <f t="shared" si="0"/>
        <v>7954.4344331486718</v>
      </c>
      <c r="P11" s="390"/>
      <c r="Q11" s="390"/>
      <c r="R11" s="372">
        <f t="shared" si="1"/>
        <v>69.721679438400002</v>
      </c>
      <c r="S11" s="373">
        <f t="shared" si="2"/>
        <v>10204.890824</v>
      </c>
      <c r="T11" s="374">
        <f t="shared" si="38"/>
        <v>1540.9781648000001</v>
      </c>
      <c r="U11" s="373">
        <f t="shared" si="13"/>
        <v>8594.190979761599</v>
      </c>
      <c r="V11" s="373">
        <f t="shared" si="14"/>
        <v>20409.781648</v>
      </c>
      <c r="W11" s="374">
        <f>H11*0.2</f>
        <v>2040.9781648000001</v>
      </c>
      <c r="X11" s="373">
        <f t="shared" si="3"/>
        <v>8094.1909797615999</v>
      </c>
      <c r="Y11" s="373">
        <f t="shared" si="4"/>
        <v>30614.672471999998</v>
      </c>
      <c r="Z11" s="376">
        <f>(Y11-25000)*0.27+(25000-V11)*0.2</f>
        <v>2434.0052378399996</v>
      </c>
      <c r="AA11" s="373">
        <f t="shared" si="5"/>
        <v>7701.1639067216001</v>
      </c>
      <c r="AB11" s="373">
        <f t="shared" si="6"/>
        <v>40819.563296</v>
      </c>
      <c r="AC11" s="376">
        <f t="shared" si="7"/>
        <v>2755.3205224800004</v>
      </c>
      <c r="AD11" s="373">
        <f t="shared" si="15"/>
        <v>7379.8486220815994</v>
      </c>
      <c r="AE11" s="373">
        <f t="shared" si="16"/>
        <v>51024.454120000002</v>
      </c>
      <c r="AF11" s="376">
        <f t="shared" si="17"/>
        <v>2755.3205224800004</v>
      </c>
      <c r="AG11" s="373">
        <f t="shared" si="18"/>
        <v>7379.8486220815994</v>
      </c>
      <c r="AH11" s="373">
        <f t="shared" si="19"/>
        <v>61229.344943999997</v>
      </c>
      <c r="AI11" s="376">
        <f t="shared" si="20"/>
        <v>2755.3205224800004</v>
      </c>
      <c r="AJ11" s="373">
        <f t="shared" si="21"/>
        <v>7379.8486220815994</v>
      </c>
      <c r="AK11" s="373">
        <f t="shared" si="22"/>
        <v>71434.235767999999</v>
      </c>
      <c r="AL11" s="376">
        <f>H11*0.27</f>
        <v>2755.3205224800004</v>
      </c>
      <c r="AM11" s="373">
        <f t="shared" si="23"/>
        <v>7379.8486220815994</v>
      </c>
      <c r="AN11" s="373">
        <f t="shared" si="8"/>
        <v>81639.126592000001</v>
      </c>
      <c r="AO11" s="376">
        <f>H11*0.27</f>
        <v>2755.3205224800004</v>
      </c>
      <c r="AP11" s="373">
        <f t="shared" si="24"/>
        <v>7379.8486220815994</v>
      </c>
      <c r="AQ11" s="373">
        <f t="shared" si="25"/>
        <v>91844.017416000002</v>
      </c>
      <c r="AR11" s="377">
        <f>(AQ11-88000)*0.35+(88000-AN11)*0.27</f>
        <v>3062.841915760001</v>
      </c>
      <c r="AS11" s="373">
        <f t="shared" si="26"/>
        <v>7072.3272288015987</v>
      </c>
      <c r="AT11" s="373">
        <f t="shared" si="27"/>
        <v>102048.90824</v>
      </c>
      <c r="AU11" s="377">
        <f t="shared" si="28"/>
        <v>3571.7117883999999</v>
      </c>
      <c r="AV11" s="373">
        <f t="shared" si="29"/>
        <v>6563.4573561615998</v>
      </c>
      <c r="AW11" s="373">
        <f t="shared" si="30"/>
        <v>112253.79906400001</v>
      </c>
      <c r="AX11" s="377">
        <f t="shared" si="31"/>
        <v>3571.7117883999999</v>
      </c>
      <c r="AY11" s="373">
        <f t="shared" si="9"/>
        <v>6563.4573561615998</v>
      </c>
      <c r="AZ11" s="373">
        <f t="shared" si="10"/>
        <v>122458.68988799999</v>
      </c>
      <c r="BA11" s="377">
        <f t="shared" si="36"/>
        <v>3571.7117883999999</v>
      </c>
      <c r="BB11" s="373">
        <f t="shared" si="33"/>
        <v>6563.4573561615998</v>
      </c>
      <c r="BC11" s="371"/>
      <c r="BE11" s="358"/>
    </row>
    <row r="12" spans="1:57" s="380" customFormat="1" ht="30" customHeight="1" x14ac:dyDescent="0.45">
      <c r="A12" s="728"/>
      <c r="B12" s="474" t="s">
        <v>236</v>
      </c>
      <c r="C12" s="231">
        <v>300</v>
      </c>
      <c r="D12" s="238">
        <v>6661</v>
      </c>
      <c r="E12" s="234">
        <v>9992.0399999999991</v>
      </c>
      <c r="F12" s="234">
        <f t="shared" si="37"/>
        <v>16653.04</v>
      </c>
      <c r="G12" s="233">
        <v>359</v>
      </c>
      <c r="H12" s="353">
        <f t="shared" si="34"/>
        <v>9926.1129079999992</v>
      </c>
      <c r="I12" s="463">
        <v>0.39</v>
      </c>
      <c r="J12" s="362">
        <v>7200</v>
      </c>
      <c r="K12" s="361">
        <f t="shared" si="11"/>
        <v>7218.2583116738651</v>
      </c>
      <c r="L12" s="390">
        <v>7218.2583116738651</v>
      </c>
      <c r="M12" s="390">
        <f t="shared" si="12"/>
        <v>0</v>
      </c>
      <c r="N12" s="390"/>
      <c r="O12" s="390">
        <f t="shared" si="0"/>
        <v>7761.5680770686722</v>
      </c>
      <c r="P12" s="390"/>
      <c r="Q12" s="390"/>
      <c r="R12" s="372">
        <f t="shared" si="1"/>
        <v>67.881745192799997</v>
      </c>
      <c r="S12" s="373">
        <f t="shared" si="2"/>
        <v>9926.1129079999992</v>
      </c>
      <c r="T12" s="378">
        <f>(S12*0.15)</f>
        <v>1488.9169361999998</v>
      </c>
      <c r="U12" s="373">
        <f t="shared" si="13"/>
        <v>8369.3142266071991</v>
      </c>
      <c r="V12" s="373">
        <f t="shared" si="14"/>
        <v>19852.225815999998</v>
      </c>
      <c r="W12" s="374">
        <f>(V12-10000)*0.2+(10000-S12)*0.15</f>
        <v>1981.528227</v>
      </c>
      <c r="X12" s="373">
        <f t="shared" si="3"/>
        <v>7876.7029358071986</v>
      </c>
      <c r="Y12" s="373">
        <f t="shared" si="4"/>
        <v>29778.338723999997</v>
      </c>
      <c r="Z12" s="382">
        <f>(Y12-25000)*0.27+(25000-V12)*0.2</f>
        <v>2319.7062922799996</v>
      </c>
      <c r="AA12" s="373">
        <f t="shared" si="5"/>
        <v>7538.5248705271988</v>
      </c>
      <c r="AB12" s="373">
        <f t="shared" si="6"/>
        <v>39704.451631999997</v>
      </c>
      <c r="AC12" s="382">
        <f t="shared" si="7"/>
        <v>2680.0504851599999</v>
      </c>
      <c r="AD12" s="373">
        <f t="shared" si="15"/>
        <v>7178.1806776471985</v>
      </c>
      <c r="AE12" s="373">
        <f t="shared" si="16"/>
        <v>49630.564539999992</v>
      </c>
      <c r="AF12" s="382">
        <f t="shared" si="17"/>
        <v>2680.0504851599999</v>
      </c>
      <c r="AG12" s="373">
        <f t="shared" si="18"/>
        <v>7178.1806776471985</v>
      </c>
      <c r="AH12" s="373">
        <f t="shared" si="19"/>
        <v>59556.677447999995</v>
      </c>
      <c r="AI12" s="382">
        <f t="shared" si="20"/>
        <v>2680.0504851599999</v>
      </c>
      <c r="AJ12" s="373">
        <f t="shared" si="21"/>
        <v>7178.1806776471985</v>
      </c>
      <c r="AK12" s="373">
        <f t="shared" si="22"/>
        <v>69482.790355999998</v>
      </c>
      <c r="AL12" s="382">
        <f>H12*0.27</f>
        <v>2680.0504851599999</v>
      </c>
      <c r="AM12" s="373">
        <f t="shared" si="23"/>
        <v>7178.1806776471985</v>
      </c>
      <c r="AN12" s="373">
        <f t="shared" si="8"/>
        <v>79408.903263999993</v>
      </c>
      <c r="AO12" s="376">
        <f>H12*0.27</f>
        <v>2680.0504851599999</v>
      </c>
      <c r="AP12" s="373">
        <f t="shared" si="24"/>
        <v>7178.1806776471985</v>
      </c>
      <c r="AQ12" s="373">
        <f t="shared" si="25"/>
        <v>89335.016171999989</v>
      </c>
      <c r="AR12" s="377">
        <f>(AQ12-88000)*0.35+(88000-AN12)*0.27</f>
        <v>2786.8517789199977</v>
      </c>
      <c r="AS12" s="373">
        <f t="shared" si="26"/>
        <v>7071.3793838872007</v>
      </c>
      <c r="AT12" s="373">
        <f t="shared" si="27"/>
        <v>99261.129079999984</v>
      </c>
      <c r="AU12" s="383">
        <f t="shared" si="28"/>
        <v>3474.1395177999993</v>
      </c>
      <c r="AV12" s="373">
        <f t="shared" si="29"/>
        <v>6384.0916450071991</v>
      </c>
      <c r="AW12" s="373">
        <f t="shared" si="30"/>
        <v>109187.24198799999</v>
      </c>
      <c r="AX12" s="383">
        <f t="shared" si="31"/>
        <v>3474.1395177999993</v>
      </c>
      <c r="AY12" s="373">
        <f t="shared" si="9"/>
        <v>6384.0916450071991</v>
      </c>
      <c r="AZ12" s="373">
        <f t="shared" si="10"/>
        <v>119113.35489599999</v>
      </c>
      <c r="BA12" s="383">
        <f t="shared" si="36"/>
        <v>3474.1395177999993</v>
      </c>
      <c r="BB12" s="373">
        <f t="shared" si="33"/>
        <v>6384.0916450071991</v>
      </c>
      <c r="BC12" s="384"/>
      <c r="BE12" s="358"/>
    </row>
    <row r="13" spans="1:57" s="233" customFormat="1" ht="30" customHeight="1" x14ac:dyDescent="0.45">
      <c r="A13" s="728"/>
      <c r="B13" s="474" t="s">
        <v>235</v>
      </c>
      <c r="C13" s="231">
        <v>300</v>
      </c>
      <c r="D13" s="238">
        <v>6661</v>
      </c>
      <c r="E13" s="234">
        <v>9992.0399999999991</v>
      </c>
      <c r="F13" s="234">
        <f t="shared" si="37"/>
        <v>16653.04</v>
      </c>
      <c r="G13" s="233">
        <v>359</v>
      </c>
      <c r="H13" s="353">
        <f t="shared" si="34"/>
        <v>9275.6311040000001</v>
      </c>
      <c r="I13" s="463">
        <v>0.32</v>
      </c>
      <c r="J13" s="362">
        <v>6800</v>
      </c>
      <c r="K13" s="361">
        <f t="shared" si="11"/>
        <v>6799.7383189802667</v>
      </c>
      <c r="L13" s="390">
        <v>6799.7383189802667</v>
      </c>
      <c r="M13" s="390">
        <f t="shared" si="12"/>
        <v>0</v>
      </c>
      <c r="N13" s="390"/>
      <c r="O13" s="390">
        <f t="shared" si="0"/>
        <v>7311.5465795486734</v>
      </c>
      <c r="P13" s="390"/>
      <c r="Q13" s="390"/>
      <c r="R13" s="372">
        <f t="shared" si="1"/>
        <v>63.588565286399998</v>
      </c>
      <c r="S13" s="373">
        <f t="shared" si="2"/>
        <v>9275.6311040000001</v>
      </c>
      <c r="T13" s="378">
        <f>(S13*0.15)</f>
        <v>1391.3446655999999</v>
      </c>
      <c r="U13" s="373">
        <f t="shared" si="13"/>
        <v>7820.6978731136005</v>
      </c>
      <c r="V13" s="373">
        <f t="shared" si="14"/>
        <v>18551.262208</v>
      </c>
      <c r="W13" s="374">
        <f>(V13-10000)*0.2+(10000-S13)*0.15</f>
        <v>1818.907776</v>
      </c>
      <c r="X13" s="373">
        <f t="shared" si="3"/>
        <v>7393.1347627136001</v>
      </c>
      <c r="Y13" s="373">
        <f t="shared" si="4"/>
        <v>27826.893312</v>
      </c>
      <c r="Z13" s="376">
        <f>(Y13-25000)*0.27+(25000-V13)*0.2</f>
        <v>2053.0087526400002</v>
      </c>
      <c r="AA13" s="373">
        <f t="shared" si="5"/>
        <v>7159.0337860735999</v>
      </c>
      <c r="AB13" s="373">
        <f t="shared" si="6"/>
        <v>37102.524416</v>
      </c>
      <c r="AC13" s="376">
        <f t="shared" si="7"/>
        <v>2504.4203980800003</v>
      </c>
      <c r="AD13" s="373">
        <f t="shared" si="15"/>
        <v>6707.6221406335999</v>
      </c>
      <c r="AE13" s="373">
        <f t="shared" si="16"/>
        <v>46378.15552</v>
      </c>
      <c r="AF13" s="376">
        <f t="shared" si="17"/>
        <v>2504.4203980800003</v>
      </c>
      <c r="AG13" s="373">
        <f t="shared" si="18"/>
        <v>6707.6221406335999</v>
      </c>
      <c r="AH13" s="373">
        <f t="shared" si="19"/>
        <v>55653.786624</v>
      </c>
      <c r="AI13" s="376">
        <f t="shared" si="20"/>
        <v>2504.4203980800003</v>
      </c>
      <c r="AJ13" s="373">
        <f t="shared" si="21"/>
        <v>6707.6221406335999</v>
      </c>
      <c r="AK13" s="373">
        <f t="shared" si="22"/>
        <v>64929.417728</v>
      </c>
      <c r="AL13" s="376">
        <f>H13*0.27</f>
        <v>2504.4203980800003</v>
      </c>
      <c r="AM13" s="373">
        <f t="shared" si="23"/>
        <v>6707.6221406335999</v>
      </c>
      <c r="AN13" s="373">
        <f t="shared" si="8"/>
        <v>74205.048832</v>
      </c>
      <c r="AO13" s="376">
        <f>H13*0.27</f>
        <v>2504.4203980800003</v>
      </c>
      <c r="AP13" s="373">
        <f t="shared" si="24"/>
        <v>6707.6221406335999</v>
      </c>
      <c r="AQ13" s="373">
        <f t="shared" si="25"/>
        <v>83480.679936</v>
      </c>
      <c r="AR13" s="376">
        <f>H13*0.27</f>
        <v>2504.4203980800003</v>
      </c>
      <c r="AS13" s="373">
        <f t="shared" si="26"/>
        <v>6707.6221406335999</v>
      </c>
      <c r="AT13" s="373">
        <f t="shared" si="27"/>
        <v>92756.311040000001</v>
      </c>
      <c r="AU13" s="377">
        <f>(AT13-88000)*0.35+(88000-AQ13)*0.27</f>
        <v>2884.92528128</v>
      </c>
      <c r="AV13" s="373">
        <f t="shared" si="29"/>
        <v>6327.1172574335997</v>
      </c>
      <c r="AW13" s="373">
        <f t="shared" si="30"/>
        <v>102031.942144</v>
      </c>
      <c r="AX13" s="377">
        <f t="shared" si="31"/>
        <v>3246.4708863999999</v>
      </c>
      <c r="AY13" s="373">
        <f t="shared" si="9"/>
        <v>5965.5716523135998</v>
      </c>
      <c r="AZ13" s="373">
        <f t="shared" si="10"/>
        <v>111307.573248</v>
      </c>
      <c r="BA13" s="377">
        <f t="shared" si="36"/>
        <v>3246.4708863999999</v>
      </c>
      <c r="BB13" s="373">
        <f t="shared" si="33"/>
        <v>5965.5716523135998</v>
      </c>
      <c r="BC13" s="371"/>
      <c r="BE13" s="358"/>
    </row>
    <row r="14" spans="1:57" s="233" customFormat="1" ht="30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37"/>
        <v>16653.04</v>
      </c>
      <c r="G14" s="233">
        <v>359</v>
      </c>
      <c r="H14" s="353">
        <f t="shared" si="34"/>
        <v>8346.371384</v>
      </c>
      <c r="I14" s="463">
        <v>0.22</v>
      </c>
      <c r="J14" s="362">
        <v>6200</v>
      </c>
      <c r="K14" s="361">
        <f t="shared" si="11"/>
        <v>6201.8526151322667</v>
      </c>
      <c r="L14" s="390">
        <v>6201.8526151322667</v>
      </c>
      <c r="M14" s="390">
        <f t="shared" si="12"/>
        <v>0</v>
      </c>
      <c r="N14" s="390"/>
      <c r="O14" s="390">
        <f t="shared" si="0"/>
        <v>6668.6587259486732</v>
      </c>
      <c r="P14" s="390"/>
      <c r="Q14" s="390"/>
      <c r="R14" s="372">
        <f t="shared" si="1"/>
        <v>57.455451134400001</v>
      </c>
      <c r="S14" s="373">
        <f t="shared" si="2"/>
        <v>8346.371384</v>
      </c>
      <c r="T14" s="378">
        <f>(S14*0.15)</f>
        <v>1251.9557075999999</v>
      </c>
      <c r="U14" s="373">
        <f t="shared" si="13"/>
        <v>7036.9602252656005</v>
      </c>
      <c r="V14" s="373">
        <f t="shared" si="14"/>
        <v>16692.742768</v>
      </c>
      <c r="W14" s="374">
        <f>(V14-10000)*0.2+(10000-S14)*0.15</f>
        <v>1586.592846</v>
      </c>
      <c r="X14" s="373">
        <f t="shared" si="3"/>
        <v>6702.323086865601</v>
      </c>
      <c r="Y14" s="373">
        <f t="shared" si="4"/>
        <v>25039.114152000002</v>
      </c>
      <c r="Z14" s="376">
        <f>(Y14-25000)*0.27+(25000-V14)*0.2</f>
        <v>1672.0122674400006</v>
      </c>
      <c r="AA14" s="373">
        <f t="shared" si="5"/>
        <v>6616.9036654255997</v>
      </c>
      <c r="AB14" s="373">
        <f t="shared" si="6"/>
        <v>33385.485536</v>
      </c>
      <c r="AC14" s="376">
        <f t="shared" si="7"/>
        <v>2253.5202736800002</v>
      </c>
      <c r="AD14" s="373">
        <f t="shared" si="15"/>
        <v>6035.3956591856004</v>
      </c>
      <c r="AE14" s="373">
        <f t="shared" si="16"/>
        <v>41731.856919999998</v>
      </c>
      <c r="AF14" s="376">
        <f t="shared" si="17"/>
        <v>2253.5202736800002</v>
      </c>
      <c r="AG14" s="373">
        <f t="shared" si="18"/>
        <v>6035.3956591856004</v>
      </c>
      <c r="AH14" s="373">
        <f t="shared" si="19"/>
        <v>50078.228304000004</v>
      </c>
      <c r="AI14" s="376">
        <f t="shared" si="20"/>
        <v>2253.5202736800002</v>
      </c>
      <c r="AJ14" s="373">
        <f t="shared" si="21"/>
        <v>6035.3956591856004</v>
      </c>
      <c r="AK14" s="373">
        <f t="shared" si="22"/>
        <v>58424.599688000002</v>
      </c>
      <c r="AL14" s="376">
        <f>H14*0.27</f>
        <v>2253.5202736800002</v>
      </c>
      <c r="AM14" s="373">
        <f t="shared" si="23"/>
        <v>6035.3956591856004</v>
      </c>
      <c r="AN14" s="373">
        <f t="shared" si="8"/>
        <v>66770.971072</v>
      </c>
      <c r="AO14" s="376">
        <f>H14*0.27</f>
        <v>2253.5202736800002</v>
      </c>
      <c r="AP14" s="373">
        <f t="shared" si="24"/>
        <v>6035.3956591856004</v>
      </c>
      <c r="AQ14" s="373">
        <f t="shared" si="25"/>
        <v>75117.342455999998</v>
      </c>
      <c r="AR14" s="376">
        <f>H14*0.27</f>
        <v>2253.5202736800002</v>
      </c>
      <c r="AS14" s="373">
        <f t="shared" si="26"/>
        <v>6035.3956591856004</v>
      </c>
      <c r="AT14" s="373">
        <f t="shared" si="27"/>
        <v>83463.713839999997</v>
      </c>
      <c r="AU14" s="376">
        <f>H14*0.27</f>
        <v>2253.5202736800002</v>
      </c>
      <c r="AV14" s="373">
        <f t="shared" si="29"/>
        <v>6035.3956591856004</v>
      </c>
      <c r="AW14" s="373">
        <f t="shared" si="30"/>
        <v>91810.085223999995</v>
      </c>
      <c r="AX14" s="377">
        <f>(AW14-88000)*0.35+(88000-AT14)*0.27</f>
        <v>2558.3270915999992</v>
      </c>
      <c r="AY14" s="373">
        <f t="shared" si="9"/>
        <v>5730.5888412656013</v>
      </c>
      <c r="AZ14" s="373">
        <f t="shared" si="10"/>
        <v>100156.45660800001</v>
      </c>
      <c r="BA14" s="377">
        <f t="shared" si="36"/>
        <v>2921.2299843999999</v>
      </c>
      <c r="BB14" s="373">
        <f t="shared" si="33"/>
        <v>5367.6859484656006</v>
      </c>
      <c r="BC14" s="371"/>
      <c r="BE14" s="358"/>
    </row>
    <row r="15" spans="1:57" s="233" customFormat="1" ht="30" customHeight="1" x14ac:dyDescent="0.45">
      <c r="A15" s="730" t="s">
        <v>15</v>
      </c>
      <c r="B15" s="474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37"/>
        <v>24980.1</v>
      </c>
      <c r="G15" s="233">
        <v>359</v>
      </c>
      <c r="H15" s="353">
        <f t="shared" si="34"/>
        <v>17089.100247999999</v>
      </c>
      <c r="I15" s="463">
        <v>0.67</v>
      </c>
      <c r="J15" s="362">
        <v>11900</v>
      </c>
      <c r="K15" s="361">
        <f t="shared" si="11"/>
        <v>11826.924366229863</v>
      </c>
      <c r="L15" s="390">
        <v>11826.924366229863</v>
      </c>
      <c r="M15" s="390">
        <f t="shared" si="12"/>
        <v>0</v>
      </c>
      <c r="N15" s="390"/>
      <c r="O15" s="390">
        <f t="shared" si="0"/>
        <v>12717.122974440712</v>
      </c>
      <c r="P15" s="390"/>
      <c r="Q15" s="390"/>
      <c r="R15" s="372">
        <f t="shared" si="1"/>
        <v>115.15746163679999</v>
      </c>
      <c r="S15" s="373">
        <f t="shared" si="2"/>
        <v>17089.100247999999</v>
      </c>
      <c r="T15" s="374">
        <f t="shared" si="38"/>
        <v>2917.8200495999999</v>
      </c>
      <c r="U15" s="373">
        <f t="shared" si="13"/>
        <v>14056.122736763198</v>
      </c>
      <c r="V15" s="373">
        <f t="shared" si="14"/>
        <v>34178.200495999998</v>
      </c>
      <c r="W15" s="376">
        <f>(V15-25000)*0.27+(25000-S15)*0.2</f>
        <v>4060.2940843199995</v>
      </c>
      <c r="X15" s="373">
        <f t="shared" si="3"/>
        <v>12913.648702043198</v>
      </c>
      <c r="Y15" s="373">
        <f t="shared" si="4"/>
        <v>51267.300743999993</v>
      </c>
      <c r="Z15" s="376">
        <f>H15*0.27</f>
        <v>4614.0570669600002</v>
      </c>
      <c r="AA15" s="373">
        <f t="shared" si="5"/>
        <v>12359.885719403197</v>
      </c>
      <c r="AB15" s="373">
        <f t="shared" si="6"/>
        <v>68356.400991999995</v>
      </c>
      <c r="AC15" s="376">
        <f t="shared" si="7"/>
        <v>4614.0570669600002</v>
      </c>
      <c r="AD15" s="373">
        <f t="shared" si="15"/>
        <v>12359.885719403197</v>
      </c>
      <c r="AE15" s="373">
        <f t="shared" si="16"/>
        <v>85445.501239999998</v>
      </c>
      <c r="AF15" s="376">
        <f t="shared" si="17"/>
        <v>4614.0570669600002</v>
      </c>
      <c r="AG15" s="373">
        <f t="shared" si="18"/>
        <v>12359.885719403197</v>
      </c>
      <c r="AH15" s="373">
        <f t="shared" si="19"/>
        <v>102534.60148799999</v>
      </c>
      <c r="AI15" s="377">
        <f>(AH15-88000)*0.35+(88000-AE15)*0.27</f>
        <v>5776.8251859999955</v>
      </c>
      <c r="AJ15" s="373">
        <f t="shared" si="21"/>
        <v>11197.117600363203</v>
      </c>
      <c r="AK15" s="373">
        <f t="shared" si="22"/>
        <v>119623.70173599999</v>
      </c>
      <c r="AL15" s="377">
        <f>H15*0.35</f>
        <v>5981.1850867999992</v>
      </c>
      <c r="AM15" s="373">
        <f t="shared" si="23"/>
        <v>10992.757699563197</v>
      </c>
      <c r="AN15" s="373">
        <f t="shared" si="8"/>
        <v>136712.80198399999</v>
      </c>
      <c r="AO15" s="377">
        <f>H15*0.35</f>
        <v>5981.1850867999992</v>
      </c>
      <c r="AP15" s="373">
        <f t="shared" si="24"/>
        <v>10992.757699563197</v>
      </c>
      <c r="AQ15" s="373">
        <f t="shared" si="25"/>
        <v>153801.90223199999</v>
      </c>
      <c r="AR15" s="377">
        <f>H15*0.35</f>
        <v>5981.1850867999992</v>
      </c>
      <c r="AS15" s="373">
        <f t="shared" si="26"/>
        <v>10992.757699563197</v>
      </c>
      <c r="AT15" s="373">
        <f t="shared" si="27"/>
        <v>170891.00248</v>
      </c>
      <c r="AU15" s="377">
        <f>H15*0.35</f>
        <v>5981.1850867999992</v>
      </c>
      <c r="AV15" s="373">
        <f t="shared" si="29"/>
        <v>10992.757699563197</v>
      </c>
      <c r="AW15" s="373">
        <f t="shared" si="30"/>
        <v>187980.102728</v>
      </c>
      <c r="AX15" s="377">
        <f t="shared" si="31"/>
        <v>5981.1850867999992</v>
      </c>
      <c r="AY15" s="373">
        <f t="shared" si="9"/>
        <v>10992.757699563197</v>
      </c>
      <c r="AZ15" s="373">
        <f t="shared" si="10"/>
        <v>205069.20297599997</v>
      </c>
      <c r="BA15" s="377">
        <f t="shared" si="36"/>
        <v>5981.1850867999992</v>
      </c>
      <c r="BB15" s="373">
        <f t="shared" si="33"/>
        <v>10992.757699563197</v>
      </c>
      <c r="BC15" s="371"/>
      <c r="BE15" s="358"/>
    </row>
    <row r="16" spans="1:57" s="233" customFormat="1" ht="30" customHeight="1" x14ac:dyDescent="0.45">
      <c r="A16" s="730"/>
      <c r="B16" s="474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37"/>
        <v>24980.1</v>
      </c>
      <c r="G16" s="233">
        <v>359</v>
      </c>
      <c r="H16" s="353">
        <f t="shared" si="34"/>
        <v>11141.838039999999</v>
      </c>
      <c r="I16" s="363">
        <v>0.35</v>
      </c>
      <c r="J16" s="362">
        <v>8000</v>
      </c>
      <c r="K16" s="361">
        <f t="shared" si="11"/>
        <v>8000.4558616026688</v>
      </c>
      <c r="L16" s="390">
        <v>8000.4558616026688</v>
      </c>
      <c r="M16" s="390">
        <f t="shared" si="12"/>
        <v>0</v>
      </c>
      <c r="N16" s="390"/>
      <c r="O16" s="390">
        <f t="shared" si="0"/>
        <v>8602.6407114007179</v>
      </c>
      <c r="P16" s="390"/>
      <c r="Q16" s="390"/>
      <c r="R16" s="372">
        <f t="shared" si="1"/>
        <v>75.905531063999987</v>
      </c>
      <c r="S16" s="373">
        <f t="shared" si="2"/>
        <v>11141.838039999999</v>
      </c>
      <c r="T16" s="374">
        <f t="shared" si="38"/>
        <v>1728.3676079999998</v>
      </c>
      <c r="U16" s="373">
        <f t="shared" si="13"/>
        <v>9337.5649009359986</v>
      </c>
      <c r="V16" s="373">
        <f t="shared" si="14"/>
        <v>22283.676079999997</v>
      </c>
      <c r="W16" s="374">
        <f>H16*0.2</f>
        <v>2228.367608</v>
      </c>
      <c r="X16" s="373">
        <f t="shared" si="3"/>
        <v>8837.5649009359986</v>
      </c>
      <c r="Y16" s="373">
        <f t="shared" si="4"/>
        <v>33425.514119999993</v>
      </c>
      <c r="Z16" s="376">
        <f>(Y16-25000)*0.27+(25000-V16)*0.2</f>
        <v>2818.1535963999986</v>
      </c>
      <c r="AA16" s="373">
        <f t="shared" si="5"/>
        <v>8247.7789125359996</v>
      </c>
      <c r="AB16" s="373">
        <f t="shared" si="6"/>
        <v>44567.352159999995</v>
      </c>
      <c r="AC16" s="376">
        <f t="shared" si="7"/>
        <v>3008.2962708</v>
      </c>
      <c r="AD16" s="373">
        <f t="shared" si="15"/>
        <v>8057.6362381359995</v>
      </c>
      <c r="AE16" s="373">
        <f t="shared" si="16"/>
        <v>55709.190199999997</v>
      </c>
      <c r="AF16" s="376">
        <f t="shared" si="17"/>
        <v>3008.2962708</v>
      </c>
      <c r="AG16" s="373">
        <f t="shared" si="18"/>
        <v>8057.6362381359995</v>
      </c>
      <c r="AH16" s="373">
        <f t="shared" si="19"/>
        <v>66851.028239999985</v>
      </c>
      <c r="AI16" s="376">
        <f t="shared" ref="AI16:AI26" si="40">H16*0.27</f>
        <v>3008.2962708</v>
      </c>
      <c r="AJ16" s="373">
        <f t="shared" si="21"/>
        <v>8057.6362381359995</v>
      </c>
      <c r="AK16" s="373">
        <f t="shared" si="22"/>
        <v>77992.866279999987</v>
      </c>
      <c r="AL16" s="376">
        <f>H16*0.27</f>
        <v>3008.2962708</v>
      </c>
      <c r="AM16" s="373">
        <f t="shared" si="23"/>
        <v>8057.6362381359995</v>
      </c>
      <c r="AN16" s="373">
        <f t="shared" si="8"/>
        <v>89134.70431999999</v>
      </c>
      <c r="AO16" s="377">
        <f>(AN16-88000)*0.35+(88000-AK16)*0.27</f>
        <v>3099.0726163999998</v>
      </c>
      <c r="AP16" s="373">
        <f t="shared" si="24"/>
        <v>7966.8598925359993</v>
      </c>
      <c r="AQ16" s="373">
        <f t="shared" si="25"/>
        <v>100276.54235999999</v>
      </c>
      <c r="AR16" s="377">
        <f>H16*0.35</f>
        <v>3899.6433139999995</v>
      </c>
      <c r="AS16" s="373">
        <f t="shared" si="26"/>
        <v>7166.2891949360001</v>
      </c>
      <c r="AT16" s="373">
        <f t="shared" si="27"/>
        <v>111418.38039999999</v>
      </c>
      <c r="AU16" s="377">
        <f>H16*0.35</f>
        <v>3899.6433139999995</v>
      </c>
      <c r="AV16" s="373">
        <f t="shared" si="29"/>
        <v>7166.2891949360001</v>
      </c>
      <c r="AW16" s="373">
        <f t="shared" si="30"/>
        <v>122560.21843999998</v>
      </c>
      <c r="AX16" s="377">
        <f t="shared" si="31"/>
        <v>3899.6433139999995</v>
      </c>
      <c r="AY16" s="373">
        <f t="shared" si="9"/>
        <v>7166.2891949360001</v>
      </c>
      <c r="AZ16" s="373">
        <f t="shared" si="10"/>
        <v>133702.05647999997</v>
      </c>
      <c r="BA16" s="377">
        <f t="shared" si="36"/>
        <v>3899.6433139999995</v>
      </c>
      <c r="BB16" s="373">
        <f t="shared" si="33"/>
        <v>7166.2891949360001</v>
      </c>
      <c r="BC16" s="371"/>
      <c r="BE16" s="358"/>
    </row>
    <row r="17" spans="1:57" s="233" customFormat="1" ht="30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37"/>
        <v>24980.1</v>
      </c>
      <c r="G17" s="233">
        <v>359</v>
      </c>
      <c r="H17" s="353">
        <f t="shared" si="34"/>
        <v>9283.3185999999987</v>
      </c>
      <c r="I17" s="363">
        <v>0.25</v>
      </c>
      <c r="J17" s="362">
        <v>6804</v>
      </c>
      <c r="K17" s="361">
        <f t="shared" si="11"/>
        <v>6804.684453906666</v>
      </c>
      <c r="L17" s="390">
        <v>6804.684453906666</v>
      </c>
      <c r="M17" s="390">
        <f t="shared" si="12"/>
        <v>0</v>
      </c>
      <c r="N17" s="390"/>
      <c r="O17" s="390">
        <f t="shared" si="0"/>
        <v>7316.8650042007157</v>
      </c>
      <c r="P17" s="390"/>
      <c r="Q17" s="390"/>
      <c r="R17" s="372">
        <f t="shared" si="1"/>
        <v>63.639302759999993</v>
      </c>
      <c r="S17" s="373">
        <f t="shared" si="2"/>
        <v>9283.3185999999987</v>
      </c>
      <c r="T17" s="378">
        <f>S17*0.15</f>
        <v>1392.4977899999997</v>
      </c>
      <c r="U17" s="373">
        <f t="shared" si="13"/>
        <v>7827.1815072399986</v>
      </c>
      <c r="V17" s="373">
        <f t="shared" si="14"/>
        <v>18566.637199999997</v>
      </c>
      <c r="W17" s="374">
        <f>(V17-10000)*0.2+(10000-S17)*0.15</f>
        <v>1820.8296499999997</v>
      </c>
      <c r="X17" s="373">
        <f t="shared" si="3"/>
        <v>7398.8496472399984</v>
      </c>
      <c r="Y17" s="373">
        <f t="shared" si="4"/>
        <v>27849.955799999996</v>
      </c>
      <c r="Z17" s="376">
        <f>(Y17-25000)*0.27+(25000-V17)*0.2</f>
        <v>2056.1606259999999</v>
      </c>
      <c r="AA17" s="373">
        <f t="shared" si="5"/>
        <v>7163.5186712399982</v>
      </c>
      <c r="AB17" s="373">
        <f t="shared" si="6"/>
        <v>37133.274399999995</v>
      </c>
      <c r="AC17" s="376">
        <f t="shared" si="7"/>
        <v>2506.4960219999998</v>
      </c>
      <c r="AD17" s="373">
        <f t="shared" si="15"/>
        <v>6713.1832752399987</v>
      </c>
      <c r="AE17" s="373">
        <f t="shared" si="16"/>
        <v>46416.592999999993</v>
      </c>
      <c r="AF17" s="376">
        <f t="shared" si="17"/>
        <v>2506.4960219999998</v>
      </c>
      <c r="AG17" s="373">
        <f t="shared" si="18"/>
        <v>6713.1832752399987</v>
      </c>
      <c r="AH17" s="373">
        <f t="shared" si="19"/>
        <v>55699.911599999992</v>
      </c>
      <c r="AI17" s="376">
        <f t="shared" si="40"/>
        <v>2506.4960219999998</v>
      </c>
      <c r="AJ17" s="373">
        <f t="shared" si="21"/>
        <v>6713.1832752399987</v>
      </c>
      <c r="AK17" s="373">
        <f t="shared" si="22"/>
        <v>64983.230199999991</v>
      </c>
      <c r="AL17" s="376">
        <f>H17*0.27</f>
        <v>2506.4960219999998</v>
      </c>
      <c r="AM17" s="373">
        <f t="shared" si="23"/>
        <v>6713.1832752399987</v>
      </c>
      <c r="AN17" s="373">
        <f t="shared" si="8"/>
        <v>74266.54879999999</v>
      </c>
      <c r="AO17" s="376">
        <f>H17*0.27</f>
        <v>2506.4960219999998</v>
      </c>
      <c r="AP17" s="373">
        <f t="shared" si="24"/>
        <v>6713.1832752399987</v>
      </c>
      <c r="AQ17" s="373">
        <f t="shared" si="25"/>
        <v>83549.867399999988</v>
      </c>
      <c r="AR17" s="376">
        <f>H17*0.27</f>
        <v>2506.4960219999998</v>
      </c>
      <c r="AS17" s="373">
        <f t="shared" si="26"/>
        <v>6713.1832752399987</v>
      </c>
      <c r="AT17" s="373">
        <f t="shared" si="27"/>
        <v>92833.185999999987</v>
      </c>
      <c r="AU17" s="377">
        <f>(AT17-88000)*0.35+(88000-AQ17)*0.27</f>
        <v>2893.1509019999985</v>
      </c>
      <c r="AV17" s="373">
        <f t="shared" si="29"/>
        <v>6326.5283952399996</v>
      </c>
      <c r="AW17" s="373">
        <f t="shared" si="30"/>
        <v>102116.50459999999</v>
      </c>
      <c r="AX17" s="377">
        <f t="shared" si="31"/>
        <v>3249.1615099999995</v>
      </c>
      <c r="AY17" s="373">
        <f t="shared" si="9"/>
        <v>5970.5177872399981</v>
      </c>
      <c r="AZ17" s="373">
        <f t="shared" si="10"/>
        <v>111399.82319999998</v>
      </c>
      <c r="BA17" s="377">
        <f t="shared" si="36"/>
        <v>3249.1615099999995</v>
      </c>
      <c r="BB17" s="373">
        <f t="shared" si="33"/>
        <v>5970.5177872399981</v>
      </c>
      <c r="BC17" s="371"/>
      <c r="BE17" s="358"/>
    </row>
    <row r="18" spans="1:57" s="233" customFormat="1" ht="30" customHeight="1" x14ac:dyDescent="0.45">
      <c r="A18" s="730"/>
      <c r="B18" s="474" t="s">
        <v>32</v>
      </c>
      <c r="C18" s="231">
        <v>450</v>
      </c>
      <c r="D18" s="234">
        <v>4996.0199999999995</v>
      </c>
      <c r="E18" s="234">
        <v>14988.06</v>
      </c>
      <c r="F18" s="234">
        <f t="shared" si="37"/>
        <v>19984.079999999998</v>
      </c>
      <c r="G18" s="233">
        <v>359</v>
      </c>
      <c r="H18" s="353">
        <f t="shared" si="34"/>
        <v>13418.524354000001</v>
      </c>
      <c r="I18" s="463">
        <v>0.63</v>
      </c>
      <c r="J18" s="362">
        <v>9500</v>
      </c>
      <c r="K18" s="361">
        <f t="shared" si="11"/>
        <v>9465.2758360302669</v>
      </c>
      <c r="L18" s="390">
        <v>9465.2758360302669</v>
      </c>
      <c r="M18" s="390">
        <f t="shared" si="12"/>
        <v>0</v>
      </c>
      <c r="N18" s="390"/>
      <c r="O18" s="390">
        <f t="shared" si="0"/>
        <v>10177.715952720717</v>
      </c>
      <c r="P18" s="390"/>
      <c r="Q18" s="390"/>
      <c r="R18" s="372">
        <f t="shared" si="1"/>
        <v>90.931660736400005</v>
      </c>
      <c r="S18" s="373">
        <f t="shared" si="2"/>
        <v>13418.524354000001</v>
      </c>
      <c r="T18" s="374">
        <f t="shared" si="38"/>
        <v>2183.7048708000002</v>
      </c>
      <c r="U18" s="373">
        <f t="shared" si="13"/>
        <v>11143.887822463601</v>
      </c>
      <c r="V18" s="373">
        <f t="shared" si="14"/>
        <v>26837.048708000002</v>
      </c>
      <c r="W18" s="376">
        <f>(V18-25000)*0.27+(25000-S18)*0.2</f>
        <v>2812.2982803600003</v>
      </c>
      <c r="X18" s="373">
        <f t="shared" si="3"/>
        <v>10515.2944129036</v>
      </c>
      <c r="Y18" s="373">
        <f t="shared" si="4"/>
        <v>40255.573062000003</v>
      </c>
      <c r="Z18" s="376">
        <f>H18*0.27</f>
        <v>3623.0015755800005</v>
      </c>
      <c r="AA18" s="373">
        <f t="shared" si="5"/>
        <v>9704.5911176836016</v>
      </c>
      <c r="AB18" s="373">
        <f t="shared" si="6"/>
        <v>53674.097416000004</v>
      </c>
      <c r="AC18" s="376">
        <f t="shared" si="7"/>
        <v>3623.0015755800005</v>
      </c>
      <c r="AD18" s="373">
        <f t="shared" si="15"/>
        <v>9704.5911176836016</v>
      </c>
      <c r="AE18" s="373">
        <f t="shared" si="16"/>
        <v>67092.621769999998</v>
      </c>
      <c r="AF18" s="376">
        <f t="shared" si="17"/>
        <v>3623.0015755800005</v>
      </c>
      <c r="AG18" s="373">
        <f t="shared" si="18"/>
        <v>9704.5911176836016</v>
      </c>
      <c r="AH18" s="373">
        <f t="shared" si="19"/>
        <v>80511.146124000006</v>
      </c>
      <c r="AI18" s="376">
        <f t="shared" si="40"/>
        <v>3623.0015755800005</v>
      </c>
      <c r="AJ18" s="373">
        <f t="shared" si="21"/>
        <v>9704.5911176836016</v>
      </c>
      <c r="AK18" s="373">
        <f t="shared" si="22"/>
        <v>93929.670478000015</v>
      </c>
      <c r="AL18" s="377">
        <f>(AK18-88000)*0.35+(88000-AH18)*0.27</f>
        <v>4097.3752138200034</v>
      </c>
      <c r="AM18" s="373">
        <f t="shared" si="23"/>
        <v>9230.2174794435978</v>
      </c>
      <c r="AN18" s="373">
        <f t="shared" si="8"/>
        <v>107348.19483200001</v>
      </c>
      <c r="AO18" s="377">
        <f>H18*0.35</f>
        <v>4696.4835239000004</v>
      </c>
      <c r="AP18" s="373">
        <f t="shared" si="24"/>
        <v>8631.1091693636008</v>
      </c>
      <c r="AQ18" s="373">
        <f t="shared" si="25"/>
        <v>120766.719186</v>
      </c>
      <c r="AR18" s="377">
        <f>H18*0.35</f>
        <v>4696.4835239000004</v>
      </c>
      <c r="AS18" s="373">
        <f t="shared" si="26"/>
        <v>8631.1091693636008</v>
      </c>
      <c r="AT18" s="373">
        <f t="shared" si="27"/>
        <v>134185.24354</v>
      </c>
      <c r="AU18" s="377">
        <f>H18*0.35</f>
        <v>4696.4835239000004</v>
      </c>
      <c r="AV18" s="373">
        <f t="shared" si="29"/>
        <v>8631.1091693636008</v>
      </c>
      <c r="AW18" s="373">
        <f t="shared" si="30"/>
        <v>147603.76789400002</v>
      </c>
      <c r="AX18" s="377">
        <f t="shared" si="31"/>
        <v>4696.4835239000004</v>
      </c>
      <c r="AY18" s="373">
        <f t="shared" si="9"/>
        <v>8631.1091693636008</v>
      </c>
      <c r="AZ18" s="373">
        <f t="shared" si="10"/>
        <v>161022.29224800001</v>
      </c>
      <c r="BA18" s="377">
        <f t="shared" si="36"/>
        <v>4696.4835239000004</v>
      </c>
      <c r="BB18" s="373">
        <f t="shared" si="33"/>
        <v>8631.1091693636008</v>
      </c>
      <c r="BC18" s="371"/>
      <c r="BE18" s="358"/>
    </row>
    <row r="19" spans="1:57" s="233" customFormat="1" ht="30" customHeight="1" x14ac:dyDescent="0.45">
      <c r="A19" s="730"/>
      <c r="B19" s="474" t="s">
        <v>237</v>
      </c>
      <c r="C19" s="231">
        <v>450</v>
      </c>
      <c r="D19" s="234">
        <v>4996.0199999999995</v>
      </c>
      <c r="E19" s="234">
        <v>14988.06</v>
      </c>
      <c r="F19" s="234">
        <f t="shared" si="37"/>
        <v>19984.079999999998</v>
      </c>
      <c r="G19" s="233">
        <v>359</v>
      </c>
      <c r="H19" s="353">
        <f t="shared" si="34"/>
        <v>11606.4679</v>
      </c>
      <c r="I19" s="463">
        <v>0.5</v>
      </c>
      <c r="J19" s="362">
        <v>8300</v>
      </c>
      <c r="K19" s="361">
        <f t="shared" si="11"/>
        <v>8299.3987135266634</v>
      </c>
      <c r="L19" s="390">
        <v>8299.3987135266634</v>
      </c>
      <c r="M19" s="390">
        <f t="shared" si="12"/>
        <v>0</v>
      </c>
      <c r="N19" s="390"/>
      <c r="O19" s="390">
        <f t="shared" si="0"/>
        <v>8924.084638200713</v>
      </c>
      <c r="P19" s="390"/>
      <c r="Q19" s="390"/>
      <c r="R19" s="372">
        <f t="shared" si="1"/>
        <v>78.972088139999997</v>
      </c>
      <c r="S19" s="373">
        <f t="shared" si="2"/>
        <v>11606.4679</v>
      </c>
      <c r="T19" s="374">
        <f t="shared" si="38"/>
        <v>1821.29358</v>
      </c>
      <c r="U19" s="373">
        <f t="shared" si="13"/>
        <v>9706.2022318599993</v>
      </c>
      <c r="V19" s="373">
        <f t="shared" si="14"/>
        <v>23212.935799999999</v>
      </c>
      <c r="W19" s="374">
        <f>H19*0.2</f>
        <v>2321.29358</v>
      </c>
      <c r="X19" s="373">
        <f t="shared" si="3"/>
        <v>9206.2022318599993</v>
      </c>
      <c r="Y19" s="373">
        <f t="shared" si="4"/>
        <v>34819.403699999995</v>
      </c>
      <c r="Z19" s="376">
        <f>(Y19-25000)*0.27+(25000-V19)*0.2</f>
        <v>3008.6518389999992</v>
      </c>
      <c r="AA19" s="373">
        <f t="shared" si="5"/>
        <v>8518.8439728599988</v>
      </c>
      <c r="AB19" s="373">
        <f t="shared" si="6"/>
        <v>46425.871599999999</v>
      </c>
      <c r="AC19" s="376">
        <f t="shared" si="7"/>
        <v>3133.746333</v>
      </c>
      <c r="AD19" s="373">
        <f t="shared" si="15"/>
        <v>8393.7494788599979</v>
      </c>
      <c r="AE19" s="373">
        <f t="shared" si="16"/>
        <v>58032.339500000002</v>
      </c>
      <c r="AF19" s="376">
        <f t="shared" si="17"/>
        <v>3133.746333</v>
      </c>
      <c r="AG19" s="373">
        <f t="shared" si="18"/>
        <v>8393.7494788599979</v>
      </c>
      <c r="AH19" s="373">
        <f t="shared" si="19"/>
        <v>69638.807399999991</v>
      </c>
      <c r="AI19" s="376">
        <f t="shared" si="40"/>
        <v>3133.746333</v>
      </c>
      <c r="AJ19" s="373">
        <f t="shared" si="21"/>
        <v>8393.7494788599979</v>
      </c>
      <c r="AK19" s="373">
        <f t="shared" si="22"/>
        <v>81245.275299999994</v>
      </c>
      <c r="AL19" s="376">
        <f t="shared" ref="AL19:AL26" si="41">H19*0.27</f>
        <v>3133.746333</v>
      </c>
      <c r="AM19" s="373">
        <f t="shared" si="23"/>
        <v>8393.7494788599979</v>
      </c>
      <c r="AN19" s="373">
        <f t="shared" si="8"/>
        <v>92851.743199999997</v>
      </c>
      <c r="AO19" s="377">
        <f>(AN19-88000)*0.35+(88000-AK19)*0.27</f>
        <v>3521.8857890000008</v>
      </c>
      <c r="AP19" s="373">
        <f t="shared" si="24"/>
        <v>8005.610022859998</v>
      </c>
      <c r="AQ19" s="373">
        <f t="shared" si="25"/>
        <v>104458.2111</v>
      </c>
      <c r="AR19" s="377">
        <f>H19*0.35</f>
        <v>4062.2637649999997</v>
      </c>
      <c r="AS19" s="373">
        <f t="shared" si="26"/>
        <v>7465.2320468599992</v>
      </c>
      <c r="AT19" s="373">
        <f t="shared" si="27"/>
        <v>116064.679</v>
      </c>
      <c r="AU19" s="377">
        <f>H19*0.35</f>
        <v>4062.2637649999997</v>
      </c>
      <c r="AV19" s="373">
        <f t="shared" si="29"/>
        <v>7465.2320468599992</v>
      </c>
      <c r="AW19" s="373">
        <f t="shared" si="30"/>
        <v>127671.14689999999</v>
      </c>
      <c r="AX19" s="377">
        <f t="shared" si="31"/>
        <v>4062.2637649999997</v>
      </c>
      <c r="AY19" s="373">
        <f t="shared" si="9"/>
        <v>7465.2320468599992</v>
      </c>
      <c r="AZ19" s="373">
        <f t="shared" si="10"/>
        <v>139277.61479999998</v>
      </c>
      <c r="BA19" s="377">
        <f t="shared" si="36"/>
        <v>4062.2637649999997</v>
      </c>
      <c r="BB19" s="373">
        <f t="shared" si="33"/>
        <v>7465.2320468599992</v>
      </c>
      <c r="BC19" s="371"/>
      <c r="BE19" s="358"/>
    </row>
    <row r="20" spans="1:57" s="233" customFormat="1" ht="30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34"/>
        <v>10026.726375999999</v>
      </c>
      <c r="I20" s="463">
        <v>0.57999999999999996</v>
      </c>
      <c r="J20" s="362">
        <v>7300</v>
      </c>
      <c r="K20" s="361">
        <f t="shared" si="11"/>
        <v>7282.9930169850659</v>
      </c>
      <c r="L20" s="390">
        <v>7282.9930169850659</v>
      </c>
      <c r="M20" s="390">
        <f t="shared" si="12"/>
        <v>0</v>
      </c>
      <c r="N20" s="390"/>
      <c r="O20" s="390">
        <f t="shared" si="0"/>
        <v>7831.1752870807159</v>
      </c>
      <c r="P20" s="390"/>
      <c r="Q20" s="390"/>
      <c r="R20" s="372">
        <f t="shared" si="1"/>
        <v>68.545794081599993</v>
      </c>
      <c r="S20" s="373">
        <f t="shared" si="2"/>
        <v>10026.726375999999</v>
      </c>
      <c r="T20" s="374">
        <f t="shared" si="38"/>
        <v>1505.3452751999998</v>
      </c>
      <c r="U20" s="373">
        <f t="shared" si="13"/>
        <v>8452.8353067183998</v>
      </c>
      <c r="V20" s="373">
        <f t="shared" si="14"/>
        <v>20053.452751999997</v>
      </c>
      <c r="W20" s="374">
        <f>H20*0.2</f>
        <v>2005.3452751999998</v>
      </c>
      <c r="X20" s="373">
        <f t="shared" si="3"/>
        <v>7952.8353067183998</v>
      </c>
      <c r="Y20" s="373">
        <f t="shared" si="4"/>
        <v>30080.179127999996</v>
      </c>
      <c r="Z20" s="376">
        <f>(Y20-25000)*0.27+(25000-V20)*0.2</f>
        <v>2360.9578141599995</v>
      </c>
      <c r="AA20" s="373">
        <f t="shared" si="5"/>
        <v>7597.2227677583996</v>
      </c>
      <c r="AB20" s="373">
        <f t="shared" si="6"/>
        <v>40106.905503999995</v>
      </c>
      <c r="AC20" s="376">
        <f t="shared" si="7"/>
        <v>2707.2161215199999</v>
      </c>
      <c r="AD20" s="373">
        <f t="shared" si="15"/>
        <v>7250.9644603983998</v>
      </c>
      <c r="AE20" s="373">
        <f t="shared" si="16"/>
        <v>50133.631879999994</v>
      </c>
      <c r="AF20" s="376">
        <f t="shared" si="17"/>
        <v>2707.2161215199999</v>
      </c>
      <c r="AG20" s="373">
        <f t="shared" si="18"/>
        <v>7250.9644603983998</v>
      </c>
      <c r="AH20" s="373">
        <f t="shared" si="19"/>
        <v>60160.358255999992</v>
      </c>
      <c r="AI20" s="376">
        <f t="shared" si="40"/>
        <v>2707.2161215199999</v>
      </c>
      <c r="AJ20" s="373">
        <f t="shared" si="21"/>
        <v>7250.9644603983998</v>
      </c>
      <c r="AK20" s="373">
        <f t="shared" si="22"/>
        <v>70187.084631999984</v>
      </c>
      <c r="AL20" s="376">
        <f t="shared" si="41"/>
        <v>2707.2161215199999</v>
      </c>
      <c r="AM20" s="373">
        <f t="shared" si="23"/>
        <v>7250.9644603983998</v>
      </c>
      <c r="AN20" s="373">
        <f t="shared" si="8"/>
        <v>80213.81100799999</v>
      </c>
      <c r="AO20" s="376">
        <f t="shared" ref="AO20:AO27" si="42">H20*0.27</f>
        <v>2707.2161215199999</v>
      </c>
      <c r="AP20" s="373">
        <f t="shared" si="24"/>
        <v>7250.9644603983998</v>
      </c>
      <c r="AQ20" s="373">
        <f t="shared" si="25"/>
        <v>90240.537383999996</v>
      </c>
      <c r="AR20" s="377">
        <f>(AQ20-88000)*0.35+(88000-AN20)*0.27</f>
        <v>2886.4591122400011</v>
      </c>
      <c r="AS20" s="373">
        <f t="shared" si="26"/>
        <v>7071.7214696783976</v>
      </c>
      <c r="AT20" s="373">
        <f t="shared" si="27"/>
        <v>100267.26375999999</v>
      </c>
      <c r="AU20" s="377">
        <f>H20*0.35</f>
        <v>3509.3542315999994</v>
      </c>
      <c r="AV20" s="373">
        <f t="shared" si="29"/>
        <v>6448.8263503183998</v>
      </c>
      <c r="AW20" s="373">
        <f t="shared" si="30"/>
        <v>110293.99013599998</v>
      </c>
      <c r="AX20" s="377">
        <f t="shared" si="31"/>
        <v>3509.3542315999994</v>
      </c>
      <c r="AY20" s="373">
        <f t="shared" si="9"/>
        <v>6448.8263503183998</v>
      </c>
      <c r="AZ20" s="373">
        <f t="shared" si="10"/>
        <v>120320.71651199998</v>
      </c>
      <c r="BA20" s="377">
        <f t="shared" si="36"/>
        <v>3509.3542315999994</v>
      </c>
      <c r="BB20" s="373">
        <f t="shared" si="33"/>
        <v>6448.8263503183998</v>
      </c>
      <c r="BC20" s="371"/>
      <c r="BE20" s="358"/>
    </row>
    <row r="21" spans="1:57" s="233" customFormat="1" ht="30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34"/>
        <v>9747.9484599999996</v>
      </c>
      <c r="I21" s="363">
        <v>0.55000000000000004</v>
      </c>
      <c r="J21" s="362">
        <v>7100</v>
      </c>
      <c r="K21" s="361">
        <f t="shared" si="11"/>
        <v>7103.627305830666</v>
      </c>
      <c r="L21" s="390">
        <v>7103.627305830666</v>
      </c>
      <c r="M21" s="390">
        <f t="shared" si="12"/>
        <v>0</v>
      </c>
      <c r="N21" s="390"/>
      <c r="O21" s="390">
        <f t="shared" si="0"/>
        <v>7638.3089310007153</v>
      </c>
      <c r="P21" s="390"/>
      <c r="Q21" s="390"/>
      <c r="R21" s="372">
        <f t="shared" si="1"/>
        <v>66.705859836000002</v>
      </c>
      <c r="S21" s="373">
        <f t="shared" si="2"/>
        <v>9747.9484599999996</v>
      </c>
      <c r="T21" s="378">
        <f>S21*0.15</f>
        <v>1462.1922689999999</v>
      </c>
      <c r="U21" s="373">
        <f t="shared" si="13"/>
        <v>8219.0503311640005</v>
      </c>
      <c r="V21" s="373">
        <f t="shared" si="14"/>
        <v>19495.896919999999</v>
      </c>
      <c r="W21" s="374">
        <f>(V21-10000)*0.2+(10000-S21)*0.15</f>
        <v>1936.9871150000001</v>
      </c>
      <c r="X21" s="373">
        <f t="shared" si="3"/>
        <v>7744.2554851639998</v>
      </c>
      <c r="Y21" s="373">
        <f t="shared" si="4"/>
        <v>29243.845379999999</v>
      </c>
      <c r="Z21" s="376">
        <f>(Y21-25000)*0.27+(25000-V21)*0.2</f>
        <v>2246.6588686</v>
      </c>
      <c r="AA21" s="373">
        <f t="shared" si="5"/>
        <v>7434.5837315640001</v>
      </c>
      <c r="AB21" s="373">
        <f t="shared" si="6"/>
        <v>38991.793839999998</v>
      </c>
      <c r="AC21" s="376">
        <f t="shared" si="7"/>
        <v>2631.9460841999999</v>
      </c>
      <c r="AD21" s="373">
        <f t="shared" si="15"/>
        <v>7049.2965159639998</v>
      </c>
      <c r="AE21" s="373">
        <f t="shared" si="16"/>
        <v>48739.742299999998</v>
      </c>
      <c r="AF21" s="376">
        <f t="shared" si="17"/>
        <v>2631.9460841999999</v>
      </c>
      <c r="AG21" s="373">
        <f t="shared" si="18"/>
        <v>7049.2965159639998</v>
      </c>
      <c r="AH21" s="373">
        <f t="shared" si="19"/>
        <v>58487.690759999998</v>
      </c>
      <c r="AI21" s="376">
        <f t="shared" si="40"/>
        <v>2631.9460841999999</v>
      </c>
      <c r="AJ21" s="373">
        <f t="shared" si="21"/>
        <v>7049.2965159639998</v>
      </c>
      <c r="AK21" s="373">
        <f t="shared" si="22"/>
        <v>68235.639219999997</v>
      </c>
      <c r="AL21" s="376">
        <f t="shared" si="41"/>
        <v>2631.9460841999999</v>
      </c>
      <c r="AM21" s="373">
        <f t="shared" si="23"/>
        <v>7049.2965159639998</v>
      </c>
      <c r="AN21" s="373">
        <f t="shared" si="8"/>
        <v>77983.587679999997</v>
      </c>
      <c r="AO21" s="376">
        <f t="shared" si="42"/>
        <v>2631.9460841999999</v>
      </c>
      <c r="AP21" s="373">
        <f t="shared" si="24"/>
        <v>7049.2965159639998</v>
      </c>
      <c r="AQ21" s="373">
        <f t="shared" si="25"/>
        <v>87731.536139999997</v>
      </c>
      <c r="AR21" s="376">
        <f t="shared" ref="AR21:AR27" si="43">H21*0.27</f>
        <v>2631.9460841999999</v>
      </c>
      <c r="AS21" s="373">
        <f t="shared" si="26"/>
        <v>7049.2965159639998</v>
      </c>
      <c r="AT21" s="373">
        <f t="shared" si="27"/>
        <v>97479.484599999996</v>
      </c>
      <c r="AU21" s="377">
        <f>(AT21-88000)*0.35+(88000-AQ21)*0.27</f>
        <v>3390.3048521999995</v>
      </c>
      <c r="AV21" s="373">
        <f t="shared" si="29"/>
        <v>6290.9377479640007</v>
      </c>
      <c r="AW21" s="373">
        <f t="shared" si="30"/>
        <v>107227.43306</v>
      </c>
      <c r="AX21" s="377">
        <f t="shared" si="31"/>
        <v>3411.7819609999997</v>
      </c>
      <c r="AY21" s="373">
        <f t="shared" si="9"/>
        <v>6269.460639164</v>
      </c>
      <c r="AZ21" s="373">
        <f t="shared" si="10"/>
        <v>116975.38152</v>
      </c>
      <c r="BA21" s="377">
        <f t="shared" si="36"/>
        <v>3411.7819609999997</v>
      </c>
      <c r="BB21" s="373">
        <f t="shared" si="33"/>
        <v>6269.460639164</v>
      </c>
      <c r="BC21" s="371"/>
      <c r="BE21" s="358"/>
    </row>
    <row r="22" spans="1:57" s="233" customFormat="1" ht="30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34"/>
        <v>9376.2445719999996</v>
      </c>
      <c r="I22" s="463">
        <v>0.51</v>
      </c>
      <c r="J22" s="362">
        <v>6900</v>
      </c>
      <c r="K22" s="361">
        <f t="shared" si="11"/>
        <v>6864.4730242914638</v>
      </c>
      <c r="L22" s="390">
        <v>6864.4730242914638</v>
      </c>
      <c r="M22" s="390">
        <f t="shared" si="12"/>
        <v>0</v>
      </c>
      <c r="N22" s="390"/>
      <c r="O22" s="390">
        <f t="shared" si="0"/>
        <v>7381.1537895607134</v>
      </c>
      <c r="P22" s="390"/>
      <c r="Q22" s="390"/>
      <c r="R22" s="372">
        <f t="shared" si="1"/>
        <v>64.252614175199994</v>
      </c>
      <c r="S22" s="373">
        <f t="shared" si="2"/>
        <v>9376.2445719999996</v>
      </c>
      <c r="T22" s="378">
        <f>S22*0.15</f>
        <v>1406.4366857999999</v>
      </c>
      <c r="U22" s="373">
        <f t="shared" si="13"/>
        <v>7905.5552720247997</v>
      </c>
      <c r="V22" s="373">
        <f t="shared" si="14"/>
        <v>18752.489143999999</v>
      </c>
      <c r="W22" s="374">
        <f>(V22-10000)*0.2+(10000-S22)*0.15</f>
        <v>1844.0611430000001</v>
      </c>
      <c r="X22" s="373">
        <f t="shared" si="3"/>
        <v>7467.9308148247992</v>
      </c>
      <c r="Y22" s="373">
        <f t="shared" si="4"/>
        <v>28128.733715999999</v>
      </c>
      <c r="Z22" s="376">
        <f>(Y22-25000)*0.27+(25000-V22)*0.2</f>
        <v>2094.2602745200002</v>
      </c>
      <c r="AA22" s="373">
        <f t="shared" si="5"/>
        <v>7217.7316833047989</v>
      </c>
      <c r="AB22" s="373">
        <f t="shared" si="6"/>
        <v>37504.978287999998</v>
      </c>
      <c r="AC22" s="376">
        <f t="shared" si="7"/>
        <v>2531.5860344400003</v>
      </c>
      <c r="AD22" s="373">
        <f t="shared" si="15"/>
        <v>6780.4059233847984</v>
      </c>
      <c r="AE22" s="373">
        <f t="shared" si="16"/>
        <v>46881.222859999994</v>
      </c>
      <c r="AF22" s="376">
        <f t="shared" si="17"/>
        <v>2531.5860344400003</v>
      </c>
      <c r="AG22" s="373">
        <f t="shared" si="18"/>
        <v>6780.4059233847984</v>
      </c>
      <c r="AH22" s="373">
        <f t="shared" si="19"/>
        <v>56257.467431999998</v>
      </c>
      <c r="AI22" s="376">
        <f t="shared" si="40"/>
        <v>2531.5860344400003</v>
      </c>
      <c r="AJ22" s="373">
        <f t="shared" si="21"/>
        <v>6780.4059233847984</v>
      </c>
      <c r="AK22" s="373">
        <f t="shared" si="22"/>
        <v>65633.712004000001</v>
      </c>
      <c r="AL22" s="376">
        <f t="shared" si="41"/>
        <v>2531.5860344400003</v>
      </c>
      <c r="AM22" s="373">
        <f t="shared" si="23"/>
        <v>6780.4059233847984</v>
      </c>
      <c r="AN22" s="373">
        <f t="shared" si="8"/>
        <v>75009.956575999997</v>
      </c>
      <c r="AO22" s="376">
        <f t="shared" si="42"/>
        <v>2531.5860344400003</v>
      </c>
      <c r="AP22" s="373">
        <f t="shared" si="24"/>
        <v>6780.4059233847984</v>
      </c>
      <c r="AQ22" s="373">
        <f t="shared" si="25"/>
        <v>84386.201147999993</v>
      </c>
      <c r="AR22" s="376">
        <f t="shared" si="43"/>
        <v>2531.5860344400003</v>
      </c>
      <c r="AS22" s="373">
        <f t="shared" si="26"/>
        <v>6780.4059233847984</v>
      </c>
      <c r="AT22" s="373">
        <f t="shared" si="27"/>
        <v>93762.445719999989</v>
      </c>
      <c r="AU22" s="377">
        <f>(AT22-88000)*0.35+(88000-AQ22)*0.27</f>
        <v>2992.581692039998</v>
      </c>
      <c r="AV22" s="373">
        <f t="shared" si="29"/>
        <v>6319.4102657848016</v>
      </c>
      <c r="AW22" s="373">
        <f t="shared" si="30"/>
        <v>103138.690292</v>
      </c>
      <c r="AX22" s="377">
        <f t="shared" si="31"/>
        <v>3281.6856001999995</v>
      </c>
      <c r="AY22" s="373">
        <f t="shared" si="9"/>
        <v>6030.3063576247996</v>
      </c>
      <c r="AZ22" s="373">
        <f t="shared" si="10"/>
        <v>112514.934864</v>
      </c>
      <c r="BA22" s="377">
        <f t="shared" si="36"/>
        <v>3281.6856001999995</v>
      </c>
      <c r="BB22" s="373">
        <f t="shared" si="33"/>
        <v>6030.3063576247996</v>
      </c>
      <c r="BC22" s="371"/>
      <c r="BE22" s="358"/>
    </row>
    <row r="23" spans="1:57" s="233" customFormat="1" ht="30" customHeight="1" x14ac:dyDescent="0.45">
      <c r="A23" s="730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34"/>
        <v>6309.6874959999996</v>
      </c>
      <c r="I23" s="464">
        <v>0.18</v>
      </c>
      <c r="J23" s="362">
        <v>4900</v>
      </c>
      <c r="K23" s="361">
        <f t="shared" si="11"/>
        <v>4809.5585346064008</v>
      </c>
      <c r="L23" s="390">
        <v>4809.5585346064008</v>
      </c>
      <c r="M23" s="390">
        <f t="shared" si="12"/>
        <v>0</v>
      </c>
      <c r="N23" s="390"/>
      <c r="O23" s="390">
        <f t="shared" si="0"/>
        <v>5171.5683167810757</v>
      </c>
      <c r="P23" s="390"/>
      <c r="Q23" s="390"/>
      <c r="R23" s="372">
        <f t="shared" si="1"/>
        <v>44.013337473599996</v>
      </c>
      <c r="S23" s="373">
        <f t="shared" si="2"/>
        <v>6309.6874959999996</v>
      </c>
      <c r="T23" s="378">
        <f>S23*0.15</f>
        <v>946.45312439999987</v>
      </c>
      <c r="U23" s="373">
        <f t="shared" si="13"/>
        <v>5319.2210341263999</v>
      </c>
      <c r="V23" s="373">
        <f t="shared" si="14"/>
        <v>12619.374991999999</v>
      </c>
      <c r="W23" s="374">
        <f>(V23-10000)*0.2+(10000-S23)*0.15</f>
        <v>1077.4218739999999</v>
      </c>
      <c r="X23" s="373">
        <f t="shared" si="3"/>
        <v>5188.2522845264002</v>
      </c>
      <c r="Y23" s="373">
        <f t="shared" si="4"/>
        <v>18929.062488</v>
      </c>
      <c r="Z23" s="374">
        <f>H23*0.2</f>
        <v>1261.9374992</v>
      </c>
      <c r="AA23" s="373">
        <f t="shared" si="5"/>
        <v>5003.7366593263996</v>
      </c>
      <c r="AB23" s="373">
        <f t="shared" si="6"/>
        <v>25238.749983999998</v>
      </c>
      <c r="AC23" s="376">
        <f>(AB23-25000)*0.27+(25000-Y23)*0.2</f>
        <v>1278.6499980799997</v>
      </c>
      <c r="AD23" s="373">
        <f t="shared" si="15"/>
        <v>4987.0241604463999</v>
      </c>
      <c r="AE23" s="373">
        <f t="shared" si="16"/>
        <v>31548.437479999997</v>
      </c>
      <c r="AF23" s="376">
        <f t="shared" si="17"/>
        <v>1703.61562392</v>
      </c>
      <c r="AG23" s="373">
        <f t="shared" si="18"/>
        <v>4562.0585346063999</v>
      </c>
      <c r="AH23" s="373">
        <f t="shared" si="19"/>
        <v>37858.124975999999</v>
      </c>
      <c r="AI23" s="376">
        <f t="shared" si="40"/>
        <v>1703.61562392</v>
      </c>
      <c r="AJ23" s="373">
        <f t="shared" si="21"/>
        <v>4562.0585346063999</v>
      </c>
      <c r="AK23" s="373">
        <f t="shared" si="22"/>
        <v>44167.812471999998</v>
      </c>
      <c r="AL23" s="376">
        <f t="shared" si="41"/>
        <v>1703.61562392</v>
      </c>
      <c r="AM23" s="373">
        <f t="shared" si="23"/>
        <v>4562.0585346063999</v>
      </c>
      <c r="AN23" s="373">
        <f t="shared" si="8"/>
        <v>50477.499967999996</v>
      </c>
      <c r="AO23" s="376">
        <f t="shared" si="42"/>
        <v>1703.61562392</v>
      </c>
      <c r="AP23" s="373">
        <f t="shared" si="24"/>
        <v>4562.0585346063999</v>
      </c>
      <c r="AQ23" s="373">
        <f t="shared" si="25"/>
        <v>56787.187463999995</v>
      </c>
      <c r="AR23" s="376">
        <f t="shared" si="43"/>
        <v>1703.61562392</v>
      </c>
      <c r="AS23" s="373">
        <f t="shared" si="26"/>
        <v>4562.0585346063999</v>
      </c>
      <c r="AT23" s="373">
        <f t="shared" si="27"/>
        <v>63096.874959999994</v>
      </c>
      <c r="AU23" s="376">
        <f>H23*0.27</f>
        <v>1703.61562392</v>
      </c>
      <c r="AV23" s="373">
        <f t="shared" si="29"/>
        <v>4562.0585346063999</v>
      </c>
      <c r="AW23" s="373">
        <f t="shared" si="30"/>
        <v>69406.562456</v>
      </c>
      <c r="AX23" s="376">
        <f>H23*0.27</f>
        <v>1703.61562392</v>
      </c>
      <c r="AY23" s="373">
        <f t="shared" si="9"/>
        <v>4562.0585346063999</v>
      </c>
      <c r="AZ23" s="373">
        <f t="shared" si="10"/>
        <v>75716.249951999998</v>
      </c>
      <c r="BA23" s="376">
        <f t="shared" ref="BA23:BA27" si="44">H23*0.27</f>
        <v>1703.61562392</v>
      </c>
      <c r="BB23" s="373">
        <f t="shared" si="33"/>
        <v>4562.0585346063999</v>
      </c>
      <c r="BC23" s="371"/>
      <c r="BE23" s="358"/>
    </row>
    <row r="24" spans="1:57" s="233" customFormat="1" ht="30" customHeight="1" x14ac:dyDescent="0.45">
      <c r="A24" s="731" t="s">
        <v>172</v>
      </c>
      <c r="B24" s="348" t="s">
        <v>282</v>
      </c>
      <c r="C24" s="317">
        <v>125</v>
      </c>
      <c r="D24" s="238">
        <v>3330.68</v>
      </c>
      <c r="E24" s="238">
        <v>4163.3499999999995</v>
      </c>
      <c r="F24" s="238">
        <f t="shared" ref="F24:F27" si="45">D24+E24</f>
        <v>7494.0299999999988</v>
      </c>
      <c r="G24" s="233">
        <v>359</v>
      </c>
      <c r="H24" s="353">
        <f t="shared" si="34"/>
        <v>6495.1231049999997</v>
      </c>
      <c r="I24" s="463">
        <v>0.91</v>
      </c>
      <c r="J24" s="362">
        <v>5000</v>
      </c>
      <c r="K24" s="361">
        <f t="shared" si="11"/>
        <v>4943.7026541570003</v>
      </c>
      <c r="L24" s="390">
        <v>4943.7026541570003</v>
      </c>
      <c r="M24" s="390">
        <f t="shared" si="12"/>
        <v>0</v>
      </c>
      <c r="N24" s="390"/>
      <c r="O24" s="390">
        <f t="shared" si="0"/>
        <v>5315.8093055451618</v>
      </c>
      <c r="P24" s="390"/>
      <c r="Q24" s="390"/>
      <c r="R24" s="372">
        <f t="shared" si="1"/>
        <v>45.237212492999994</v>
      </c>
      <c r="S24" s="373">
        <f t="shared" si="2"/>
        <v>6495.1231049999997</v>
      </c>
      <c r="T24" s="378">
        <f t="shared" ref="T24:T28" si="46">S24*0.15</f>
        <v>974.2684657499999</v>
      </c>
      <c r="U24" s="373">
        <f t="shared" si="13"/>
        <v>5475.6174267570004</v>
      </c>
      <c r="V24" s="373">
        <f t="shared" si="14"/>
        <v>12990.246209999999</v>
      </c>
      <c r="W24" s="374">
        <f>(V24-10000)*0.2+(10000-S24)*0.15</f>
        <v>1123.7807762499999</v>
      </c>
      <c r="X24" s="373">
        <f t="shared" si="3"/>
        <v>5326.1051162570002</v>
      </c>
      <c r="Y24" s="373">
        <f t="shared" si="4"/>
        <v>19485.369315</v>
      </c>
      <c r="Z24" s="374">
        <f>H24*0.2</f>
        <v>1299.024621</v>
      </c>
      <c r="AA24" s="373">
        <f t="shared" si="5"/>
        <v>5150.8612715069994</v>
      </c>
      <c r="AB24" s="373">
        <f t="shared" si="6"/>
        <v>25980.492419999999</v>
      </c>
      <c r="AC24" s="376">
        <f>(AB24-25000)*0.27+(25000-Y24)*0.2</f>
        <v>1367.6590903999997</v>
      </c>
      <c r="AD24" s="373">
        <f t="shared" si="15"/>
        <v>5082.2268021070004</v>
      </c>
      <c r="AE24" s="373">
        <f t="shared" si="16"/>
        <v>32475.615524999997</v>
      </c>
      <c r="AF24" s="376">
        <f t="shared" si="17"/>
        <v>1753.68323835</v>
      </c>
      <c r="AG24" s="373">
        <f t="shared" si="18"/>
        <v>4696.2026541569994</v>
      </c>
      <c r="AH24" s="373">
        <f t="shared" si="19"/>
        <v>38970.73863</v>
      </c>
      <c r="AI24" s="376">
        <f t="shared" si="40"/>
        <v>1753.68323835</v>
      </c>
      <c r="AJ24" s="373">
        <f t="shared" si="21"/>
        <v>4696.2026541569994</v>
      </c>
      <c r="AK24" s="373">
        <f t="shared" si="22"/>
        <v>45465.861734999999</v>
      </c>
      <c r="AL24" s="376">
        <f t="shared" si="41"/>
        <v>1753.68323835</v>
      </c>
      <c r="AM24" s="373">
        <f t="shared" si="23"/>
        <v>4696.2026541569994</v>
      </c>
      <c r="AN24" s="373">
        <f t="shared" si="8"/>
        <v>51960.984839999997</v>
      </c>
      <c r="AO24" s="376">
        <f t="shared" si="42"/>
        <v>1753.68323835</v>
      </c>
      <c r="AP24" s="373">
        <f t="shared" si="24"/>
        <v>4696.2026541569994</v>
      </c>
      <c r="AQ24" s="373">
        <f t="shared" si="25"/>
        <v>58456.107944999996</v>
      </c>
      <c r="AR24" s="376">
        <f t="shared" si="43"/>
        <v>1753.68323835</v>
      </c>
      <c r="AS24" s="373">
        <f t="shared" si="26"/>
        <v>4696.2026541569994</v>
      </c>
      <c r="AT24" s="373">
        <f t="shared" si="27"/>
        <v>64951.231049999995</v>
      </c>
      <c r="AU24" s="376">
        <f>H24*0.27</f>
        <v>1753.68323835</v>
      </c>
      <c r="AV24" s="373">
        <f t="shared" si="29"/>
        <v>4696.2026541569994</v>
      </c>
      <c r="AW24" s="373">
        <f t="shared" si="30"/>
        <v>71446.354154999994</v>
      </c>
      <c r="AX24" s="376">
        <f>H24*0.27</f>
        <v>1753.68323835</v>
      </c>
      <c r="AY24" s="373">
        <f t="shared" si="9"/>
        <v>4696.2026541569994</v>
      </c>
      <c r="AZ24" s="373">
        <f t="shared" si="10"/>
        <v>77941.47726</v>
      </c>
      <c r="BA24" s="376">
        <f t="shared" si="44"/>
        <v>1753.68323835</v>
      </c>
      <c r="BB24" s="373">
        <f t="shared" si="33"/>
        <v>4696.2026541569994</v>
      </c>
      <c r="BC24" s="371"/>
      <c r="BE24" s="358"/>
    </row>
    <row r="25" spans="1:57" s="233" customFormat="1" ht="30" customHeight="1" x14ac:dyDescent="0.45">
      <c r="A25" s="732"/>
      <c r="B25" s="348" t="s">
        <v>281</v>
      </c>
      <c r="C25" s="317">
        <v>125</v>
      </c>
      <c r="D25" s="238">
        <v>3330.68</v>
      </c>
      <c r="E25" s="238">
        <v>4163.3499999999995</v>
      </c>
      <c r="F25" s="238">
        <f t="shared" si="45"/>
        <v>7494.0299999999988</v>
      </c>
      <c r="G25" s="233">
        <v>359</v>
      </c>
      <c r="H25" s="353">
        <f t="shared" si="34"/>
        <v>5798.1783149999992</v>
      </c>
      <c r="I25" s="363">
        <v>0.73</v>
      </c>
      <c r="J25" s="362">
        <v>4500</v>
      </c>
      <c r="K25" s="361">
        <f>((U25+X25+AA25+AD25+AG25+AJ25+AM25+AP25+AS25+AV25+AY25+BB25)/12)+60</f>
        <v>4439.5327930709982</v>
      </c>
      <c r="L25" s="390">
        <v>4497.2282059364989</v>
      </c>
      <c r="M25" s="390">
        <f t="shared" si="12"/>
        <v>57.695412865500657</v>
      </c>
      <c r="N25" s="390"/>
      <c r="O25" s="390">
        <f t="shared" si="0"/>
        <v>4773.6911753451595</v>
      </c>
      <c r="P25" s="390"/>
      <c r="Q25" s="390"/>
      <c r="R25" s="372">
        <f t="shared" si="1"/>
        <v>40.637376878999994</v>
      </c>
      <c r="S25" s="373">
        <f t="shared" si="2"/>
        <v>5798.1783149999992</v>
      </c>
      <c r="T25" s="378">
        <f t="shared" si="46"/>
        <v>869.7267472499999</v>
      </c>
      <c r="U25" s="373">
        <f t="shared" si="13"/>
        <v>4887.8141908709995</v>
      </c>
      <c r="V25" s="373">
        <f t="shared" si="14"/>
        <v>11596.356629999998</v>
      </c>
      <c r="W25" s="374">
        <f>(V25-10000)*0.2+(10000-S25)*0.15</f>
        <v>949.5445787499998</v>
      </c>
      <c r="X25" s="373">
        <f t="shared" si="3"/>
        <v>4807.9963593709999</v>
      </c>
      <c r="Y25" s="373">
        <f t="shared" si="4"/>
        <v>17394.534944999999</v>
      </c>
      <c r="Z25" s="374">
        <f>H25*0.2</f>
        <v>1159.6356629999998</v>
      </c>
      <c r="AA25" s="373">
        <f t="shared" si="5"/>
        <v>4597.9052751209992</v>
      </c>
      <c r="AB25" s="373">
        <f t="shared" si="6"/>
        <v>23192.713259999997</v>
      </c>
      <c r="AC25" s="374">
        <f>H25*0.2</f>
        <v>1159.6356629999998</v>
      </c>
      <c r="AD25" s="373">
        <f t="shared" si="15"/>
        <v>4597.9052751209992</v>
      </c>
      <c r="AE25" s="373">
        <f t="shared" si="16"/>
        <v>28990.891574999994</v>
      </c>
      <c r="AF25" s="376">
        <f>(AE25-25000)*0.27+(25000-AB25)*0.2</f>
        <v>1438.9980732499992</v>
      </c>
      <c r="AG25" s="373">
        <f t="shared" si="18"/>
        <v>4318.5428648710003</v>
      </c>
      <c r="AH25" s="373">
        <f t="shared" si="19"/>
        <v>34789.069889999999</v>
      </c>
      <c r="AI25" s="376">
        <f t="shared" si="40"/>
        <v>1565.5081450499999</v>
      </c>
      <c r="AJ25" s="373">
        <f t="shared" si="21"/>
        <v>4192.0327930709991</v>
      </c>
      <c r="AK25" s="373">
        <f t="shared" si="22"/>
        <v>40587.248204999996</v>
      </c>
      <c r="AL25" s="376">
        <f t="shared" si="41"/>
        <v>1565.5081450499999</v>
      </c>
      <c r="AM25" s="373">
        <f t="shared" si="23"/>
        <v>4192.0327930709991</v>
      </c>
      <c r="AN25" s="373">
        <f t="shared" si="8"/>
        <v>46385.426519999994</v>
      </c>
      <c r="AO25" s="376">
        <f t="shared" si="42"/>
        <v>1565.5081450499999</v>
      </c>
      <c r="AP25" s="373">
        <f t="shared" si="24"/>
        <v>4192.0327930709991</v>
      </c>
      <c r="AQ25" s="373">
        <f t="shared" si="25"/>
        <v>52183.604834999991</v>
      </c>
      <c r="AR25" s="376">
        <f t="shared" si="43"/>
        <v>1565.5081450499999</v>
      </c>
      <c r="AS25" s="373">
        <f t="shared" si="26"/>
        <v>4192.0327930709991</v>
      </c>
      <c r="AT25" s="373">
        <f t="shared" si="27"/>
        <v>57981.783149999988</v>
      </c>
      <c r="AU25" s="376">
        <f>H25*0.27</f>
        <v>1565.5081450499999</v>
      </c>
      <c r="AV25" s="373">
        <f t="shared" si="29"/>
        <v>4192.0327930709991</v>
      </c>
      <c r="AW25" s="373">
        <f t="shared" si="30"/>
        <v>63779.961464999993</v>
      </c>
      <c r="AX25" s="376">
        <f>H25*0.27</f>
        <v>1565.5081450499999</v>
      </c>
      <c r="AY25" s="373">
        <f t="shared" si="9"/>
        <v>4192.0327930709991</v>
      </c>
      <c r="AZ25" s="373">
        <f t="shared" si="10"/>
        <v>69578.139779999998</v>
      </c>
      <c r="BA25" s="376">
        <f t="shared" si="44"/>
        <v>1565.5081450499999</v>
      </c>
      <c r="BB25" s="373">
        <f t="shared" si="33"/>
        <v>4192.0327930709991</v>
      </c>
      <c r="BC25" s="371"/>
      <c r="BE25" s="358"/>
    </row>
    <row r="26" spans="1:57" s="233" customFormat="1" ht="30" customHeight="1" x14ac:dyDescent="0.45">
      <c r="A26" s="732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45"/>
        <v>7494.0299999999988</v>
      </c>
      <c r="G26" s="233">
        <v>278</v>
      </c>
      <c r="H26" s="353">
        <f>D26+E26*$H$5*$I26-G26</f>
        <v>5066.0760599999994</v>
      </c>
      <c r="I26" s="391">
        <v>0.52</v>
      </c>
      <c r="J26" s="362">
        <v>4000</v>
      </c>
      <c r="K26" s="361">
        <f t="shared" si="11"/>
        <v>3910.4646218039993</v>
      </c>
      <c r="L26" s="390">
        <v>3910.4646218039993</v>
      </c>
      <c r="M26" s="390">
        <f t="shared" si="12"/>
        <v>0</v>
      </c>
      <c r="N26" s="390"/>
      <c r="O26" s="390">
        <f t="shared" si="0"/>
        <v>4204.8006686064509</v>
      </c>
      <c r="P26" s="390"/>
      <c r="Q26" s="390"/>
      <c r="R26" s="372">
        <f t="shared" si="1"/>
        <v>35.270901995999999</v>
      </c>
      <c r="S26" s="373">
        <f t="shared" si="2"/>
        <v>5066.0760599999994</v>
      </c>
      <c r="T26" s="378">
        <f t="shared" si="46"/>
        <v>759.91140899999994</v>
      </c>
      <c r="U26" s="373">
        <f t="shared" si="13"/>
        <v>4270.8937490039989</v>
      </c>
      <c r="V26" s="373">
        <f t="shared" si="14"/>
        <v>10132.152119999999</v>
      </c>
      <c r="W26" s="374">
        <f t="shared" ref="W26" si="47">(V26-10000)*0.2+(10000-S26)*0.15</f>
        <v>766.51901499999985</v>
      </c>
      <c r="X26" s="373">
        <f t="shared" si="3"/>
        <v>4264.2861430039993</v>
      </c>
      <c r="Y26" s="373">
        <f t="shared" si="4"/>
        <v>15198.228179999998</v>
      </c>
      <c r="Z26" s="374">
        <f>H26*0.2</f>
        <v>1013.215212</v>
      </c>
      <c r="AA26" s="373">
        <f t="shared" si="5"/>
        <v>4017.5899460039991</v>
      </c>
      <c r="AB26" s="373">
        <f t="shared" si="6"/>
        <v>20264.304239999998</v>
      </c>
      <c r="AC26" s="374">
        <f>H26*0.2</f>
        <v>1013.215212</v>
      </c>
      <c r="AD26" s="373">
        <f t="shared" si="15"/>
        <v>4017.5899460039991</v>
      </c>
      <c r="AE26" s="373">
        <f t="shared" si="16"/>
        <v>25330.380299999997</v>
      </c>
      <c r="AF26" s="376">
        <f>(AE26-25000)*0.27+(25000-AB26)*0.2</f>
        <v>1036.3418329999997</v>
      </c>
      <c r="AG26" s="373">
        <f t="shared" si="18"/>
        <v>3994.4633250039997</v>
      </c>
      <c r="AH26" s="373">
        <f t="shared" si="19"/>
        <v>30396.456359999996</v>
      </c>
      <c r="AI26" s="376">
        <f t="shared" si="40"/>
        <v>1367.8405361999999</v>
      </c>
      <c r="AJ26" s="373">
        <f t="shared" si="21"/>
        <v>3662.9646218039993</v>
      </c>
      <c r="AK26" s="373">
        <f t="shared" si="22"/>
        <v>35462.532419999996</v>
      </c>
      <c r="AL26" s="376">
        <f t="shared" si="41"/>
        <v>1367.8405361999999</v>
      </c>
      <c r="AM26" s="373">
        <f t="shared" si="23"/>
        <v>3662.9646218039993</v>
      </c>
      <c r="AN26" s="373">
        <f t="shared" si="8"/>
        <v>40528.608479999995</v>
      </c>
      <c r="AO26" s="376">
        <f t="shared" si="42"/>
        <v>1367.8405361999999</v>
      </c>
      <c r="AP26" s="373">
        <f t="shared" si="24"/>
        <v>3662.9646218039993</v>
      </c>
      <c r="AQ26" s="373">
        <f t="shared" si="25"/>
        <v>45594.684539999995</v>
      </c>
      <c r="AR26" s="376">
        <f t="shared" si="43"/>
        <v>1367.8405361999999</v>
      </c>
      <c r="AS26" s="373">
        <f t="shared" si="26"/>
        <v>3662.9646218039993</v>
      </c>
      <c r="AT26" s="373">
        <f t="shared" si="27"/>
        <v>50660.760599999994</v>
      </c>
      <c r="AU26" s="376">
        <f>H26*0.27</f>
        <v>1367.8405361999999</v>
      </c>
      <c r="AV26" s="373">
        <f t="shared" si="29"/>
        <v>3662.9646218039993</v>
      </c>
      <c r="AW26" s="373">
        <f t="shared" si="30"/>
        <v>55726.836659999994</v>
      </c>
      <c r="AX26" s="376">
        <f>H26*0.27</f>
        <v>1367.8405361999999</v>
      </c>
      <c r="AY26" s="373">
        <f t="shared" si="9"/>
        <v>3662.9646218039993</v>
      </c>
      <c r="AZ26" s="373">
        <f t="shared" si="10"/>
        <v>60792.912719999993</v>
      </c>
      <c r="BA26" s="376">
        <f t="shared" si="44"/>
        <v>1367.8405361999999</v>
      </c>
      <c r="BB26" s="373">
        <f t="shared" si="33"/>
        <v>3662.9646218039993</v>
      </c>
      <c r="BC26" s="371"/>
      <c r="BE26" s="358"/>
    </row>
    <row r="27" spans="1:57" s="233" customFormat="1" ht="30" customHeight="1" x14ac:dyDescent="0.45">
      <c r="A27" s="733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45"/>
        <v>7494.0299999999988</v>
      </c>
      <c r="G27" s="233">
        <v>278</v>
      </c>
      <c r="H27" s="353">
        <f t="shared" si="34"/>
        <v>3749.6247899999998</v>
      </c>
      <c r="I27" s="391">
        <v>0.18</v>
      </c>
      <c r="J27" s="362">
        <v>3000</v>
      </c>
      <c r="K27" s="361">
        <f t="shared" si="11"/>
        <v>2958.1437730859993</v>
      </c>
      <c r="L27" s="390">
        <v>2958.1437730859993</v>
      </c>
      <c r="M27" s="390">
        <f t="shared" si="12"/>
        <v>0</v>
      </c>
      <c r="N27" s="390"/>
      <c r="O27" s="390">
        <f t="shared" si="0"/>
        <v>3180.7997560064509</v>
      </c>
      <c r="P27" s="390"/>
      <c r="Q27" s="390"/>
      <c r="R27" s="372">
        <f t="shared" si="1"/>
        <v>26.582323614</v>
      </c>
      <c r="S27" s="373">
        <f t="shared" si="2"/>
        <v>3749.6247899999998</v>
      </c>
      <c r="T27" s="378">
        <f t="shared" si="46"/>
        <v>562.44371849999993</v>
      </c>
      <c r="U27" s="373">
        <f t="shared" si="13"/>
        <v>3160.5987478859997</v>
      </c>
      <c r="V27" s="373">
        <f t="shared" si="14"/>
        <v>7499.2495799999997</v>
      </c>
      <c r="W27" s="378">
        <f>H27*0.15</f>
        <v>562.44371849999993</v>
      </c>
      <c r="X27" s="373">
        <f t="shared" si="3"/>
        <v>3160.5987478859997</v>
      </c>
      <c r="Y27" s="373">
        <f t="shared" si="4"/>
        <v>11248.87437</v>
      </c>
      <c r="Z27" s="374">
        <f>(Y27-10000)*0.2+(10000-V27)*0.15</f>
        <v>624.88743699999998</v>
      </c>
      <c r="AA27" s="373">
        <f t="shared" si="5"/>
        <v>3098.155029386</v>
      </c>
      <c r="AB27" s="373">
        <f t="shared" si="6"/>
        <v>14998.499159999999</v>
      </c>
      <c r="AC27" s="374">
        <f>H27*0.2</f>
        <v>749.92495800000006</v>
      </c>
      <c r="AD27" s="373">
        <f t="shared" si="15"/>
        <v>2973.1175083859998</v>
      </c>
      <c r="AE27" s="373">
        <f t="shared" si="16"/>
        <v>18748.123950000001</v>
      </c>
      <c r="AF27" s="374">
        <f>H27*0.2</f>
        <v>749.92495800000006</v>
      </c>
      <c r="AG27" s="373">
        <f t="shared" si="18"/>
        <v>2973.1175083859998</v>
      </c>
      <c r="AH27" s="373">
        <f t="shared" si="19"/>
        <v>22497.748739999999</v>
      </c>
      <c r="AI27" s="374">
        <f>H27*0.2</f>
        <v>749.92495800000006</v>
      </c>
      <c r="AJ27" s="373">
        <f t="shared" si="21"/>
        <v>2973.1175083859998</v>
      </c>
      <c r="AK27" s="373">
        <f t="shared" si="22"/>
        <v>26247.373529999997</v>
      </c>
      <c r="AL27" s="376">
        <f>(AK27-25000)*0.27+(25000-AH27)*0.2</f>
        <v>837.24110509999946</v>
      </c>
      <c r="AM27" s="373">
        <f t="shared" si="23"/>
        <v>2885.8013612860004</v>
      </c>
      <c r="AN27" s="373">
        <f t="shared" si="8"/>
        <v>29996.998319999999</v>
      </c>
      <c r="AO27" s="376">
        <f t="shared" si="42"/>
        <v>1012.3986933</v>
      </c>
      <c r="AP27" s="373">
        <f t="shared" si="24"/>
        <v>2710.6437730859998</v>
      </c>
      <c r="AQ27" s="373">
        <f t="shared" si="25"/>
        <v>33746.62311</v>
      </c>
      <c r="AR27" s="376">
        <f t="shared" si="43"/>
        <v>1012.3986933</v>
      </c>
      <c r="AS27" s="373">
        <f t="shared" si="26"/>
        <v>2710.6437730859998</v>
      </c>
      <c r="AT27" s="373">
        <f t="shared" si="27"/>
        <v>37496.247900000002</v>
      </c>
      <c r="AU27" s="376">
        <f>H27*0.27</f>
        <v>1012.3986933</v>
      </c>
      <c r="AV27" s="373">
        <f t="shared" si="29"/>
        <v>2710.6437730859998</v>
      </c>
      <c r="AW27" s="373">
        <f t="shared" si="30"/>
        <v>41245.872689999997</v>
      </c>
      <c r="AX27" s="376">
        <f>H27*0.27</f>
        <v>1012.3986933</v>
      </c>
      <c r="AY27" s="373">
        <f t="shared" si="9"/>
        <v>2710.6437730859998</v>
      </c>
      <c r="AZ27" s="373">
        <f t="shared" si="10"/>
        <v>44995.497479999998</v>
      </c>
      <c r="BA27" s="376">
        <f t="shared" si="44"/>
        <v>1012.3986933</v>
      </c>
      <c r="BB27" s="373">
        <f t="shared" si="33"/>
        <v>2710.6437730859998</v>
      </c>
      <c r="BC27" s="371"/>
      <c r="BE27" s="358"/>
    </row>
    <row r="28" spans="1:57" s="233" customFormat="1" ht="28.5" x14ac:dyDescent="0.45">
      <c r="A28" s="754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34"/>
        <v>2223.6737480000002</v>
      </c>
      <c r="I28" s="391">
        <v>0.54</v>
      </c>
      <c r="J28" s="362">
        <v>1795</v>
      </c>
      <c r="K28" s="361">
        <f t="shared" si="11"/>
        <v>1854.2707893032</v>
      </c>
      <c r="L28" s="390">
        <v>1854.2707893032</v>
      </c>
      <c r="M28" s="390">
        <f t="shared" si="12"/>
        <v>0</v>
      </c>
      <c r="N28" s="390"/>
      <c r="O28" s="390">
        <f t="shared" si="0"/>
        <v>1993.8395583905376</v>
      </c>
      <c r="P28" s="390"/>
      <c r="Q28" s="390"/>
      <c r="R28" s="372">
        <f t="shared" si="1"/>
        <v>16.511046736800001</v>
      </c>
      <c r="S28" s="373">
        <f t="shared" si="2"/>
        <v>2223.6737480000002</v>
      </c>
      <c r="T28" s="378">
        <f t="shared" si="46"/>
        <v>333.55106219999999</v>
      </c>
      <c r="U28" s="373">
        <f t="shared" si="13"/>
        <v>1873.6116390632003</v>
      </c>
      <c r="V28" s="373">
        <f t="shared" si="14"/>
        <v>4447.3474960000003</v>
      </c>
      <c r="W28" s="378">
        <f>H28*0.15</f>
        <v>333.55106219999999</v>
      </c>
      <c r="X28" s="373">
        <f t="shared" si="3"/>
        <v>1873.6116390632003</v>
      </c>
      <c r="Y28" s="373">
        <f t="shared" si="4"/>
        <v>6671.0212440000005</v>
      </c>
      <c r="Z28" s="378">
        <f>H28*0.15</f>
        <v>333.55106219999999</v>
      </c>
      <c r="AA28" s="373">
        <f t="shared" si="5"/>
        <v>1873.6116390632003</v>
      </c>
      <c r="AB28" s="373">
        <f t="shared" si="6"/>
        <v>8894.6949920000006</v>
      </c>
      <c r="AC28" s="378">
        <f>H28*0.15</f>
        <v>333.55106219999999</v>
      </c>
      <c r="AD28" s="373">
        <f t="shared" si="15"/>
        <v>1873.6116390632003</v>
      </c>
      <c r="AE28" s="373">
        <f t="shared" si="16"/>
        <v>11118.368740000002</v>
      </c>
      <c r="AF28" s="374">
        <f>(AE28-10000)*0.2+(10000-AB28)*0.15</f>
        <v>389.46949920000026</v>
      </c>
      <c r="AG28" s="373">
        <f t="shared" si="18"/>
        <v>1817.6932020632</v>
      </c>
      <c r="AH28" s="373">
        <f t="shared" si="19"/>
        <v>13342.042488000001</v>
      </c>
      <c r="AI28" s="374">
        <f>H28*0.2</f>
        <v>444.73474960000004</v>
      </c>
      <c r="AJ28" s="373">
        <f t="shared" si="21"/>
        <v>1762.4279516632002</v>
      </c>
      <c r="AK28" s="373">
        <f t="shared" si="22"/>
        <v>15565.716236</v>
      </c>
      <c r="AL28" s="374">
        <f>H28*0.2</f>
        <v>444.73474960000004</v>
      </c>
      <c r="AM28" s="373">
        <f t="shared" si="23"/>
        <v>1762.4279516632002</v>
      </c>
      <c r="AN28" s="373">
        <f t="shared" si="8"/>
        <v>17789.389984000001</v>
      </c>
      <c r="AO28" s="374">
        <f>H28*0.2</f>
        <v>444.73474960000004</v>
      </c>
      <c r="AP28" s="373">
        <f t="shared" si="24"/>
        <v>1762.4279516632002</v>
      </c>
      <c r="AQ28" s="373">
        <f t="shared" si="25"/>
        <v>20013.063732000002</v>
      </c>
      <c r="AR28" s="374">
        <f>H28*0.2</f>
        <v>444.73474960000004</v>
      </c>
      <c r="AS28" s="373">
        <f t="shared" si="26"/>
        <v>1762.4279516632002</v>
      </c>
      <c r="AT28" s="373">
        <f t="shared" si="27"/>
        <v>22236.737480000003</v>
      </c>
      <c r="AU28" s="374">
        <f>H28*0.2</f>
        <v>444.73474960000004</v>
      </c>
      <c r="AV28" s="373">
        <f t="shared" si="29"/>
        <v>1762.4279516632002</v>
      </c>
      <c r="AW28" s="373">
        <f t="shared" si="30"/>
        <v>24460.411228000001</v>
      </c>
      <c r="AX28" s="374">
        <f>H28*0.2</f>
        <v>444.73474960000004</v>
      </c>
      <c r="AY28" s="373">
        <f t="shared" si="9"/>
        <v>1762.4279516632002</v>
      </c>
      <c r="AZ28" s="373">
        <f t="shared" si="10"/>
        <v>26684.084976000002</v>
      </c>
      <c r="BA28" s="376">
        <f>(AZ28-25000)*0.27+(25000-AW28)*0.2</f>
        <v>562.62069792000034</v>
      </c>
      <c r="BB28" s="373">
        <f t="shared" si="33"/>
        <v>1644.5420033431999</v>
      </c>
      <c r="BC28" s="371"/>
      <c r="BE28" s="358"/>
    </row>
    <row r="29" spans="1:57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1</v>
      </c>
      <c r="I29" s="363"/>
      <c r="J29" s="233"/>
      <c r="K29" s="361"/>
      <c r="L29" s="390"/>
      <c r="M29" s="390"/>
      <c r="N29" s="390"/>
      <c r="O29" s="390"/>
      <c r="P29" s="390"/>
      <c r="Q29" s="390"/>
      <c r="R29" s="372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5"/>
      <c r="BE29" s="358"/>
    </row>
    <row r="30" spans="1:57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48">D30+E30</f>
        <v>24980.1</v>
      </c>
      <c r="G30" s="233">
        <v>359</v>
      </c>
      <c r="H30" s="353">
        <f>D30+E30*$H$29*$I30-G30</f>
        <v>17426.831199999997</v>
      </c>
      <c r="I30" s="363">
        <v>0.64</v>
      </c>
      <c r="J30" s="362">
        <v>11900</v>
      </c>
      <c r="K30" s="361">
        <f>((U30+X30+AA30+AD30+AG30+AJ30+AM30+AP30+AS30+AV30+AY30+BB30)/12)+60</f>
        <v>12044.220460746665</v>
      </c>
      <c r="L30" s="390">
        <v>11550.482589181869</v>
      </c>
      <c r="M30" s="390">
        <f t="shared" ref="M30:M54" si="49">L30-K30</f>
        <v>-493.73787156479557</v>
      </c>
      <c r="N30" s="390"/>
      <c r="O30" s="390">
        <f>K30/0.94</f>
        <v>12813.000490156028</v>
      </c>
      <c r="P30" s="390">
        <v>11550.482589181869</v>
      </c>
      <c r="Q30" s="390">
        <f>K30-P30</f>
        <v>493.73787156479557</v>
      </c>
      <c r="R30" s="372">
        <f t="shared" ref="R30:R54" si="50">(H30+G30)*0.0066</f>
        <v>117.38648591999998</v>
      </c>
      <c r="S30" s="373">
        <f t="shared" ref="S30:S54" si="51">$H30*S$4</f>
        <v>17426.831199999997</v>
      </c>
      <c r="T30" s="374">
        <f t="shared" ref="T30:T42" si="52">(S30-10000)*0.2+10000*0.15</f>
        <v>2985.3662399999994</v>
      </c>
      <c r="U30" s="373">
        <f>H30-R30-T30</f>
        <v>14324.078474079997</v>
      </c>
      <c r="V30" s="373">
        <f>H30*2</f>
        <v>34853.662399999994</v>
      </c>
      <c r="W30" s="376">
        <f>(V30-25000)*0.27+(25000-S30)*0.2</f>
        <v>4175.1226079999997</v>
      </c>
      <c r="X30" s="373">
        <f>H30-R30-W30</f>
        <v>13134.322106079997</v>
      </c>
      <c r="Y30" s="373">
        <f>H30*3</f>
        <v>52280.493599999987</v>
      </c>
      <c r="Z30" s="376">
        <f t="shared" ref="Z30:Z33" si="53">S30*0.27</f>
        <v>4705.2444239999995</v>
      </c>
      <c r="AA30" s="373">
        <f>H30-R30-Z30</f>
        <v>12604.200290079996</v>
      </c>
      <c r="AB30" s="373">
        <f>H30*4</f>
        <v>69707.324799999988</v>
      </c>
      <c r="AC30" s="376">
        <f t="shared" ref="AC30:AC37" si="54">H30*0.27</f>
        <v>4705.2444239999995</v>
      </c>
      <c r="AD30" s="373">
        <f>H30-R30-AC30</f>
        <v>12604.200290079996</v>
      </c>
      <c r="AE30" s="373">
        <f>H30*5</f>
        <v>87134.155999999988</v>
      </c>
      <c r="AF30" s="376">
        <f t="shared" ref="AF30:AF50" si="55">H30*0.27</f>
        <v>4705.2444239999995</v>
      </c>
      <c r="AG30" s="373">
        <f>H30-R30-AF30</f>
        <v>12604.200290079996</v>
      </c>
      <c r="AH30" s="373">
        <f>H30*6</f>
        <v>104560.98719999997</v>
      </c>
      <c r="AI30" s="377">
        <f>(AH30-88000)*0.35+(88000-AE30)*0.27</f>
        <v>6030.123399999994</v>
      </c>
      <c r="AJ30" s="373">
        <f>H30-R30-AI30</f>
        <v>11279.321314080004</v>
      </c>
      <c r="AK30" s="373">
        <f>H30*7</f>
        <v>121987.81839999997</v>
      </c>
      <c r="AL30" s="377">
        <f>H30*0.35</f>
        <v>6099.3909199999989</v>
      </c>
      <c r="AM30" s="373">
        <f>H30-R30-AL30</f>
        <v>11210.053794079999</v>
      </c>
      <c r="AN30" s="373">
        <f>H30*8</f>
        <v>139414.64959999998</v>
      </c>
      <c r="AO30" s="377">
        <f>H30*0.35</f>
        <v>6099.3909199999989</v>
      </c>
      <c r="AP30" s="373">
        <f>H30-R30-AO30</f>
        <v>11210.053794079999</v>
      </c>
      <c r="AQ30" s="373">
        <f>H30*9</f>
        <v>156841.48079999996</v>
      </c>
      <c r="AR30" s="377">
        <f>H30*0.35</f>
        <v>6099.3909199999989</v>
      </c>
      <c r="AS30" s="373">
        <f>H30-R30-AR30</f>
        <v>11210.053794079999</v>
      </c>
      <c r="AT30" s="373">
        <f>H30*10</f>
        <v>174268.31199999998</v>
      </c>
      <c r="AU30" s="377">
        <f>H30*0.35</f>
        <v>6099.3909199999989</v>
      </c>
      <c r="AV30" s="373">
        <f>H30-R30-AU30</f>
        <v>11210.053794079999</v>
      </c>
      <c r="AW30" s="373">
        <f>H30*11</f>
        <v>191695.14319999996</v>
      </c>
      <c r="AX30" s="377">
        <f t="shared" ref="AX30:AX37" si="56">H30*0.35</f>
        <v>6099.3909199999989</v>
      </c>
      <c r="AY30" s="373">
        <f>H30-R30-AX30</f>
        <v>11210.053794079999</v>
      </c>
      <c r="AZ30" s="373">
        <f>H30*12</f>
        <v>209121.97439999995</v>
      </c>
      <c r="BA30" s="377">
        <f t="shared" ref="BA30:BA37" si="57">H30*0.35</f>
        <v>6099.3909199999989</v>
      </c>
      <c r="BB30" s="373">
        <f t="shared" ref="BB30:BB54" si="58">H30-R30-BA30</f>
        <v>11210.053794079999</v>
      </c>
      <c r="BC30" s="292"/>
      <c r="BE30" s="358"/>
    </row>
    <row r="31" spans="1:57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48"/>
        <v>24980.1</v>
      </c>
      <c r="G31" s="233">
        <v>359</v>
      </c>
      <c r="H31" s="353">
        <f t="shared" ref="H31:H54" si="59">D31+E31*$H$29*$I31-G31</f>
        <v>11231.7664</v>
      </c>
      <c r="I31" s="363">
        <v>0.33</v>
      </c>
      <c r="J31" s="362">
        <v>8000</v>
      </c>
      <c r="K31" s="361">
        <f t="shared" si="11"/>
        <v>8058.3157684266689</v>
      </c>
      <c r="L31" s="390">
        <v>7803.7321784010674</v>
      </c>
      <c r="M31" s="390">
        <f t="shared" si="49"/>
        <v>-254.58359002560155</v>
      </c>
      <c r="N31" s="390"/>
      <c r="O31" s="390">
        <f t="shared" ref="O31:O54" si="60">K31/0.94</f>
        <v>8572.6763493900744</v>
      </c>
      <c r="P31" s="390">
        <v>7803.7321784010674</v>
      </c>
      <c r="Q31" s="390">
        <f t="shared" ref="Q31:Q54" si="61">K31-P31</f>
        <v>254.58359002560155</v>
      </c>
      <c r="R31" s="372">
        <f t="shared" si="50"/>
        <v>76.499058239999997</v>
      </c>
      <c r="S31" s="373">
        <f t="shared" si="51"/>
        <v>11231.7664</v>
      </c>
      <c r="T31" s="374">
        <f t="shared" si="52"/>
        <v>1746.35328</v>
      </c>
      <c r="U31" s="373">
        <f t="shared" ref="U31:U54" si="62">H31-R31-T31</f>
        <v>9408.9140617600005</v>
      </c>
      <c r="V31" s="373">
        <f t="shared" ref="V31:V54" si="63">H31*2</f>
        <v>22463.532800000001</v>
      </c>
      <c r="W31" s="374">
        <f>H31*0.2</f>
        <v>2246.3532800000003</v>
      </c>
      <c r="X31" s="373">
        <f t="shared" ref="X31:X54" si="64">H31-R31-W31</f>
        <v>8908.9140617599987</v>
      </c>
      <c r="Y31" s="373">
        <f t="shared" ref="Y31:Y54" si="65">H31*3</f>
        <v>33695.299200000001</v>
      </c>
      <c r="Z31" s="376">
        <f>(Y31-25000)*0.27+(25000-V31)*0.2</f>
        <v>2855.0242240000002</v>
      </c>
      <c r="AA31" s="373">
        <f t="shared" ref="AA31:AA54" si="66">H31-R31-Z31</f>
        <v>8300.2431177599992</v>
      </c>
      <c r="AB31" s="373">
        <f t="shared" ref="AB31:AB54" si="67">H31*4</f>
        <v>44927.065600000002</v>
      </c>
      <c r="AC31" s="376">
        <f t="shared" si="54"/>
        <v>3032.5769280000004</v>
      </c>
      <c r="AD31" s="373">
        <f t="shared" ref="AD31:AD54" si="68">H31-R31-AC31</f>
        <v>8122.6904137599995</v>
      </c>
      <c r="AE31" s="373">
        <f t="shared" ref="AE31:AE54" si="69">H31*5</f>
        <v>56158.832000000002</v>
      </c>
      <c r="AF31" s="376">
        <f t="shared" si="55"/>
        <v>3032.5769280000004</v>
      </c>
      <c r="AG31" s="373">
        <f t="shared" ref="AG31:AG54" si="70">H31-R31-AF31</f>
        <v>8122.6904137599995</v>
      </c>
      <c r="AH31" s="373">
        <f t="shared" ref="AH31:AH54" si="71">H31*6</f>
        <v>67390.598400000003</v>
      </c>
      <c r="AI31" s="376">
        <f t="shared" ref="AI31:AI38" si="72">H31*0.27</f>
        <v>3032.5769280000004</v>
      </c>
      <c r="AJ31" s="373">
        <f t="shared" ref="AJ31:AJ54" si="73">H31-R31-AI31</f>
        <v>8122.6904137599995</v>
      </c>
      <c r="AK31" s="373">
        <f t="shared" ref="AK31:AK54" si="74">H31*7</f>
        <v>78622.36480000001</v>
      </c>
      <c r="AL31" s="376">
        <f>H31*0.27</f>
        <v>3032.5769280000004</v>
      </c>
      <c r="AM31" s="373">
        <f t="shared" ref="AM31:AM54" si="75">H31-R31-AL31</f>
        <v>8122.6904137599995</v>
      </c>
      <c r="AN31" s="373">
        <f t="shared" ref="AN31:AN54" si="76">H31*8</f>
        <v>89854.131200000003</v>
      </c>
      <c r="AO31" s="377">
        <f>(AN31-88000)*0.35+(88000-AK31)*0.27</f>
        <v>3180.9074239999986</v>
      </c>
      <c r="AP31" s="373">
        <f t="shared" ref="AP31:AP54" si="77">H31-R31-AO31</f>
        <v>7974.3599177600008</v>
      </c>
      <c r="AQ31" s="373">
        <f t="shared" ref="AQ31:AQ54" si="78">H31*9</f>
        <v>101085.8976</v>
      </c>
      <c r="AR31" s="377">
        <f>H31*0.35</f>
        <v>3931.1182399999998</v>
      </c>
      <c r="AS31" s="373">
        <f t="shared" ref="AS31:AS54" si="79">H31-R31-AR31</f>
        <v>7224.1491017600001</v>
      </c>
      <c r="AT31" s="373">
        <f t="shared" ref="AT31:AT54" si="80">H31*10</f>
        <v>112317.664</v>
      </c>
      <c r="AU31" s="377">
        <f>H31*0.35</f>
        <v>3931.1182399999998</v>
      </c>
      <c r="AV31" s="373">
        <f t="shared" ref="AV31:AV54" si="81">H31-R31-AU31</f>
        <v>7224.1491017600001</v>
      </c>
      <c r="AW31" s="373">
        <f t="shared" ref="AW31:AW54" si="82">H31*11</f>
        <v>123549.43040000001</v>
      </c>
      <c r="AX31" s="377">
        <f t="shared" si="56"/>
        <v>3931.1182399999998</v>
      </c>
      <c r="AY31" s="373">
        <f t="shared" ref="AY31:AY54" si="83">H31-R31-AX31</f>
        <v>7224.1491017600001</v>
      </c>
      <c r="AZ31" s="373">
        <f t="shared" ref="AZ31:AZ54" si="84">H31*12</f>
        <v>134781.19680000001</v>
      </c>
      <c r="BA31" s="377">
        <f t="shared" si="57"/>
        <v>3931.1182399999998</v>
      </c>
      <c r="BB31" s="373">
        <f t="shared" si="58"/>
        <v>7224.1491017600001</v>
      </c>
      <c r="BC31" s="292"/>
      <c r="BE31" s="358"/>
    </row>
    <row r="32" spans="1:57" ht="28.5" x14ac:dyDescent="0.45">
      <c r="A32" s="716"/>
      <c r="B32" s="474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59"/>
        <v>9633.0399999999991</v>
      </c>
      <c r="I32" s="363">
        <v>0.25</v>
      </c>
      <c r="J32" s="362">
        <v>6844</v>
      </c>
      <c r="K32" s="361">
        <f t="shared" si="11"/>
        <v>7029.695202666665</v>
      </c>
      <c r="L32" s="390">
        <v>6836.8288465866681</v>
      </c>
      <c r="M32" s="390">
        <f t="shared" si="49"/>
        <v>-192.86635607999688</v>
      </c>
      <c r="N32" s="390"/>
      <c r="O32" s="390">
        <f t="shared" si="60"/>
        <v>7478.3991517730483</v>
      </c>
      <c r="P32" s="390">
        <v>6836.8288465866681</v>
      </c>
      <c r="Q32" s="390">
        <f t="shared" si="61"/>
        <v>192.86635607999688</v>
      </c>
      <c r="R32" s="372">
        <f t="shared" si="50"/>
        <v>65.947463999999997</v>
      </c>
      <c r="S32" s="373">
        <f t="shared" si="51"/>
        <v>9633.0399999999991</v>
      </c>
      <c r="T32" s="378">
        <f t="shared" ref="T32" si="85">S32*0.15</f>
        <v>1444.9559999999999</v>
      </c>
      <c r="U32" s="373">
        <f t="shared" si="62"/>
        <v>8122.1365359999982</v>
      </c>
      <c r="V32" s="373">
        <f t="shared" si="63"/>
        <v>19266.079999999998</v>
      </c>
      <c r="W32" s="374">
        <f t="shared" ref="W32" si="86">(V32-10000)*0.2+(10000-S32)*0.15</f>
        <v>1908.2599999999998</v>
      </c>
      <c r="X32" s="373">
        <f t="shared" si="64"/>
        <v>7658.8325359999981</v>
      </c>
      <c r="Y32" s="373">
        <f t="shared" si="65"/>
        <v>28899.119999999995</v>
      </c>
      <c r="Z32" s="376">
        <f>(Y32-25000)*0.27+(25000-V32)*0.2</f>
        <v>2199.5463999999993</v>
      </c>
      <c r="AA32" s="373">
        <f t="shared" si="66"/>
        <v>7367.546135999999</v>
      </c>
      <c r="AB32" s="373">
        <f t="shared" si="67"/>
        <v>38532.159999999996</v>
      </c>
      <c r="AC32" s="376">
        <f t="shared" si="54"/>
        <v>2600.9207999999999</v>
      </c>
      <c r="AD32" s="373">
        <f t="shared" si="68"/>
        <v>6966.1717359999984</v>
      </c>
      <c r="AE32" s="373">
        <f t="shared" si="69"/>
        <v>48165.2</v>
      </c>
      <c r="AF32" s="376">
        <f t="shared" si="55"/>
        <v>2600.9207999999999</v>
      </c>
      <c r="AG32" s="373">
        <f t="shared" si="70"/>
        <v>6966.1717359999984</v>
      </c>
      <c r="AH32" s="373">
        <f t="shared" si="71"/>
        <v>57798.239999999991</v>
      </c>
      <c r="AI32" s="376">
        <f t="shared" si="72"/>
        <v>2600.9207999999999</v>
      </c>
      <c r="AJ32" s="373">
        <f t="shared" si="73"/>
        <v>6966.1717359999984</v>
      </c>
      <c r="AK32" s="373">
        <f t="shared" si="74"/>
        <v>67431.28</v>
      </c>
      <c r="AL32" s="376">
        <f>H32*0.27</f>
        <v>2600.9207999999999</v>
      </c>
      <c r="AM32" s="373">
        <f t="shared" si="75"/>
        <v>6966.1717359999984</v>
      </c>
      <c r="AN32" s="373">
        <f t="shared" si="76"/>
        <v>77064.319999999992</v>
      </c>
      <c r="AO32" s="376">
        <f>H32*0.27</f>
        <v>2600.9207999999999</v>
      </c>
      <c r="AP32" s="373">
        <f t="shared" si="77"/>
        <v>6966.1717359999984</v>
      </c>
      <c r="AQ32" s="373">
        <f t="shared" si="78"/>
        <v>86697.359999999986</v>
      </c>
      <c r="AR32" s="376">
        <f>H32*0.27</f>
        <v>2600.9207999999999</v>
      </c>
      <c r="AS32" s="373">
        <f t="shared" si="79"/>
        <v>6966.1717359999984</v>
      </c>
      <c r="AT32" s="373">
        <f t="shared" si="80"/>
        <v>96330.4</v>
      </c>
      <c r="AU32" s="377">
        <f>(AT32-88000)*0.35+(88000-AQ32)*0.27</f>
        <v>3267.3528000000015</v>
      </c>
      <c r="AV32" s="373">
        <f t="shared" si="81"/>
        <v>6299.7397359999968</v>
      </c>
      <c r="AW32" s="373">
        <f t="shared" si="82"/>
        <v>105963.43999999999</v>
      </c>
      <c r="AX32" s="377">
        <f t="shared" si="56"/>
        <v>3371.5639999999994</v>
      </c>
      <c r="AY32" s="373">
        <f t="shared" si="83"/>
        <v>6195.5285359999989</v>
      </c>
      <c r="AZ32" s="373">
        <f t="shared" si="84"/>
        <v>115596.47999999998</v>
      </c>
      <c r="BA32" s="377">
        <f t="shared" si="57"/>
        <v>3371.5639999999994</v>
      </c>
      <c r="BB32" s="373">
        <f t="shared" si="58"/>
        <v>6195.5285359999989</v>
      </c>
      <c r="BC32" s="292"/>
      <c r="BE32" s="358"/>
    </row>
    <row r="33" spans="1:57" ht="28.5" x14ac:dyDescent="0.45">
      <c r="A33" s="716"/>
      <c r="B33" s="347" t="s">
        <v>32</v>
      </c>
      <c r="C33" s="283">
        <v>450</v>
      </c>
      <c r="D33" s="238">
        <v>4996.0199999999995</v>
      </c>
      <c r="E33" s="238">
        <v>14988.06</v>
      </c>
      <c r="F33" s="238">
        <f t="shared" si="48"/>
        <v>19984.079999999998</v>
      </c>
      <c r="G33" s="233">
        <v>359</v>
      </c>
      <c r="H33" s="353">
        <f t="shared" si="59"/>
        <v>13629.856</v>
      </c>
      <c r="I33" s="363">
        <v>0.6</v>
      </c>
      <c r="J33" s="362">
        <v>9500</v>
      </c>
      <c r="K33" s="361">
        <f t="shared" si="11"/>
        <v>9601.2466170666685</v>
      </c>
      <c r="L33" s="390">
        <v>9254.0871761226681</v>
      </c>
      <c r="M33" s="390">
        <f t="shared" si="49"/>
        <v>-347.15944094400038</v>
      </c>
      <c r="N33" s="390"/>
      <c r="O33" s="390">
        <f t="shared" si="60"/>
        <v>10214.092145815604</v>
      </c>
      <c r="P33" s="390">
        <v>9254.0871761226681</v>
      </c>
      <c r="Q33" s="390">
        <f t="shared" si="61"/>
        <v>347.15944094400038</v>
      </c>
      <c r="R33" s="372">
        <f t="shared" si="50"/>
        <v>92.326449600000004</v>
      </c>
      <c r="S33" s="373">
        <f t="shared" si="51"/>
        <v>13629.856</v>
      </c>
      <c r="T33" s="374">
        <f t="shared" si="52"/>
        <v>2225.9712</v>
      </c>
      <c r="U33" s="373">
        <f t="shared" si="62"/>
        <v>11311.558350400001</v>
      </c>
      <c r="V33" s="373">
        <f t="shared" si="63"/>
        <v>27259.712</v>
      </c>
      <c r="W33" s="376">
        <f>(V33-25000)*0.27+(25000-S33)*0.2</f>
        <v>2884.1510399999997</v>
      </c>
      <c r="X33" s="373">
        <f t="shared" si="64"/>
        <v>10653.378510400002</v>
      </c>
      <c r="Y33" s="373">
        <f t="shared" si="65"/>
        <v>40889.567999999999</v>
      </c>
      <c r="Z33" s="376">
        <f t="shared" si="53"/>
        <v>3680.0611200000003</v>
      </c>
      <c r="AA33" s="373">
        <f t="shared" si="66"/>
        <v>9857.4684304000002</v>
      </c>
      <c r="AB33" s="373">
        <f t="shared" si="67"/>
        <v>54519.423999999999</v>
      </c>
      <c r="AC33" s="376">
        <f t="shared" si="54"/>
        <v>3680.0611200000003</v>
      </c>
      <c r="AD33" s="373">
        <f t="shared" si="68"/>
        <v>9857.4684304000002</v>
      </c>
      <c r="AE33" s="373">
        <f t="shared" si="69"/>
        <v>68149.279999999999</v>
      </c>
      <c r="AF33" s="376">
        <f t="shared" si="55"/>
        <v>3680.0611200000003</v>
      </c>
      <c r="AG33" s="373">
        <f t="shared" si="70"/>
        <v>9857.4684304000002</v>
      </c>
      <c r="AH33" s="373">
        <f t="shared" si="71"/>
        <v>81779.135999999999</v>
      </c>
      <c r="AI33" s="376">
        <f t="shared" si="72"/>
        <v>3680.0611200000003</v>
      </c>
      <c r="AJ33" s="373">
        <f t="shared" si="73"/>
        <v>9857.4684304000002</v>
      </c>
      <c r="AK33" s="373">
        <f t="shared" si="74"/>
        <v>95408.991999999998</v>
      </c>
      <c r="AL33" s="377">
        <f>(AK33-88000)*0.35+(88000-AH33)*0.27</f>
        <v>4272.7804799999994</v>
      </c>
      <c r="AM33" s="373">
        <f t="shared" si="75"/>
        <v>9264.7490704000011</v>
      </c>
      <c r="AN33" s="373">
        <f t="shared" si="76"/>
        <v>109038.848</v>
      </c>
      <c r="AO33" s="377">
        <f>H33*0.35</f>
        <v>4770.4495999999999</v>
      </c>
      <c r="AP33" s="373">
        <f t="shared" si="77"/>
        <v>8767.0799504000006</v>
      </c>
      <c r="AQ33" s="373">
        <f t="shared" si="78"/>
        <v>122668.704</v>
      </c>
      <c r="AR33" s="377">
        <f>H33*0.35</f>
        <v>4770.4495999999999</v>
      </c>
      <c r="AS33" s="373">
        <f t="shared" si="79"/>
        <v>8767.0799504000006</v>
      </c>
      <c r="AT33" s="373">
        <f t="shared" si="80"/>
        <v>136298.56</v>
      </c>
      <c r="AU33" s="377">
        <f>H33*0.35</f>
        <v>4770.4495999999999</v>
      </c>
      <c r="AV33" s="373">
        <f t="shared" si="81"/>
        <v>8767.0799504000006</v>
      </c>
      <c r="AW33" s="373">
        <f t="shared" si="82"/>
        <v>149928.416</v>
      </c>
      <c r="AX33" s="377">
        <f t="shared" si="56"/>
        <v>4770.4495999999999</v>
      </c>
      <c r="AY33" s="373">
        <f t="shared" si="83"/>
        <v>8767.0799504000006</v>
      </c>
      <c r="AZ33" s="373">
        <f t="shared" si="84"/>
        <v>163558.272</v>
      </c>
      <c r="BA33" s="377">
        <f t="shared" si="57"/>
        <v>4770.4495999999999</v>
      </c>
      <c r="BB33" s="373">
        <f t="shared" si="58"/>
        <v>8767.0799504000006</v>
      </c>
      <c r="BC33" s="292"/>
      <c r="BE33" s="358"/>
    </row>
    <row r="34" spans="1:57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48"/>
        <v>19984.079999999998</v>
      </c>
      <c r="G34" s="233">
        <v>359</v>
      </c>
      <c r="H34" s="353">
        <f t="shared" si="59"/>
        <v>11831.288799999998</v>
      </c>
      <c r="I34" s="363">
        <v>0.48</v>
      </c>
      <c r="J34" s="362">
        <v>8300</v>
      </c>
      <c r="K34" s="361">
        <f t="shared" si="11"/>
        <v>8444.0484805866654</v>
      </c>
      <c r="L34" s="390">
        <v>8166.3209278314671</v>
      </c>
      <c r="M34" s="390">
        <f t="shared" si="49"/>
        <v>-277.7275527551983</v>
      </c>
      <c r="N34" s="390"/>
      <c r="O34" s="390">
        <f t="shared" si="60"/>
        <v>8983.0302984964528</v>
      </c>
      <c r="P34" s="390">
        <v>8166.3209278314671</v>
      </c>
      <c r="Q34" s="390">
        <f t="shared" si="61"/>
        <v>277.7275527551983</v>
      </c>
      <c r="R34" s="372">
        <f t="shared" si="50"/>
        <v>80.455906079999991</v>
      </c>
      <c r="S34" s="373">
        <f t="shared" si="51"/>
        <v>11831.288799999998</v>
      </c>
      <c r="T34" s="374">
        <f t="shared" si="52"/>
        <v>1866.2577599999997</v>
      </c>
      <c r="U34" s="373">
        <f t="shared" si="62"/>
        <v>9884.5751339199978</v>
      </c>
      <c r="V34" s="373">
        <f t="shared" si="63"/>
        <v>23662.577599999997</v>
      </c>
      <c r="W34" s="376">
        <f>S34*0.2</f>
        <v>2366.25776</v>
      </c>
      <c r="X34" s="373">
        <f t="shared" si="64"/>
        <v>9384.5751339199978</v>
      </c>
      <c r="Y34" s="373">
        <f t="shared" si="65"/>
        <v>35493.866399999999</v>
      </c>
      <c r="Z34" s="376">
        <f>(Y34-25000)*0.27+(25000-V34)*0.2</f>
        <v>3100.8284080000003</v>
      </c>
      <c r="AA34" s="373">
        <f t="shared" si="66"/>
        <v>8650.0044859199988</v>
      </c>
      <c r="AB34" s="373">
        <f t="shared" si="67"/>
        <v>47325.155199999994</v>
      </c>
      <c r="AC34" s="376">
        <f t="shared" si="54"/>
        <v>3194.4479759999999</v>
      </c>
      <c r="AD34" s="373">
        <f t="shared" si="68"/>
        <v>8556.3849179199988</v>
      </c>
      <c r="AE34" s="373">
        <f t="shared" si="69"/>
        <v>59156.443999999989</v>
      </c>
      <c r="AF34" s="376">
        <f t="shared" si="55"/>
        <v>3194.4479759999999</v>
      </c>
      <c r="AG34" s="373">
        <f t="shared" si="70"/>
        <v>8556.3849179199988</v>
      </c>
      <c r="AH34" s="373">
        <f t="shared" si="71"/>
        <v>70987.732799999998</v>
      </c>
      <c r="AI34" s="376">
        <f t="shared" si="72"/>
        <v>3194.4479759999999</v>
      </c>
      <c r="AJ34" s="373">
        <f t="shared" si="73"/>
        <v>8556.3849179199988</v>
      </c>
      <c r="AK34" s="373">
        <f t="shared" si="74"/>
        <v>82819.021599999993</v>
      </c>
      <c r="AL34" s="376">
        <f>H34*0.27</f>
        <v>3194.4479759999999</v>
      </c>
      <c r="AM34" s="373">
        <f t="shared" si="75"/>
        <v>8556.3849179199988</v>
      </c>
      <c r="AN34" s="373">
        <f t="shared" si="76"/>
        <v>94650.310399999988</v>
      </c>
      <c r="AO34" s="377">
        <f>(AN34-88000)*0.35+(88000-AK34)*0.27</f>
        <v>3726.4728079999977</v>
      </c>
      <c r="AP34" s="373">
        <f t="shared" si="77"/>
        <v>8024.3600859200005</v>
      </c>
      <c r="AQ34" s="373">
        <f t="shared" si="78"/>
        <v>106481.59919999998</v>
      </c>
      <c r="AR34" s="377">
        <f>H34*0.35</f>
        <v>4140.9510799999989</v>
      </c>
      <c r="AS34" s="373">
        <f t="shared" si="79"/>
        <v>7609.8818139199993</v>
      </c>
      <c r="AT34" s="373">
        <f t="shared" si="80"/>
        <v>118312.88799999998</v>
      </c>
      <c r="AU34" s="377">
        <f>H34*0.35</f>
        <v>4140.9510799999989</v>
      </c>
      <c r="AV34" s="373">
        <f t="shared" si="81"/>
        <v>7609.8818139199993</v>
      </c>
      <c r="AW34" s="373">
        <f t="shared" si="82"/>
        <v>130144.17679999999</v>
      </c>
      <c r="AX34" s="377">
        <f t="shared" si="56"/>
        <v>4140.9510799999989</v>
      </c>
      <c r="AY34" s="373">
        <f t="shared" si="83"/>
        <v>7609.8818139199993</v>
      </c>
      <c r="AZ34" s="373">
        <f t="shared" si="84"/>
        <v>141975.4656</v>
      </c>
      <c r="BA34" s="377">
        <f t="shared" si="57"/>
        <v>4140.9510799999989</v>
      </c>
      <c r="BB34" s="373">
        <f t="shared" si="58"/>
        <v>7609.8818139199993</v>
      </c>
      <c r="BC34" s="292"/>
      <c r="BE34" s="358"/>
    </row>
    <row r="35" spans="1:57" ht="28.5" x14ac:dyDescent="0.45">
      <c r="A35" s="716"/>
      <c r="B35" s="474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48"/>
        <v>14988.059999999998</v>
      </c>
      <c r="G35" s="233">
        <v>359</v>
      </c>
      <c r="H35" s="353">
        <f t="shared" si="59"/>
        <v>10132.642</v>
      </c>
      <c r="I35" s="363">
        <v>0.55000000000000004</v>
      </c>
      <c r="J35" s="362">
        <v>7300</v>
      </c>
      <c r="K35" s="361">
        <f t="shared" si="11"/>
        <v>7351.1391294666655</v>
      </c>
      <c r="L35" s="390">
        <v>7138.9861377786683</v>
      </c>
      <c r="M35" s="390">
        <f t="shared" si="49"/>
        <v>-212.1529916879972</v>
      </c>
      <c r="N35" s="390"/>
      <c r="O35" s="390">
        <f t="shared" si="60"/>
        <v>7820.3607760283676</v>
      </c>
      <c r="P35" s="390">
        <v>7138.9861377786683</v>
      </c>
      <c r="Q35" s="390">
        <f t="shared" si="61"/>
        <v>212.1529916879972</v>
      </c>
      <c r="R35" s="372">
        <f t="shared" si="50"/>
        <v>69.244837199999992</v>
      </c>
      <c r="S35" s="373">
        <f t="shared" si="51"/>
        <v>10132.642</v>
      </c>
      <c r="T35" s="374">
        <f t="shared" si="52"/>
        <v>1526.5283999999999</v>
      </c>
      <c r="U35" s="373">
        <f t="shared" si="62"/>
        <v>8536.8687628000007</v>
      </c>
      <c r="V35" s="373">
        <f t="shared" si="63"/>
        <v>20265.284</v>
      </c>
      <c r="W35" s="374">
        <f>H35*0.2</f>
        <v>2026.5284000000001</v>
      </c>
      <c r="X35" s="373">
        <f t="shared" si="64"/>
        <v>8036.8687627999998</v>
      </c>
      <c r="Y35" s="373">
        <f t="shared" si="65"/>
        <v>30397.925999999999</v>
      </c>
      <c r="Z35" s="376">
        <f>(Y35-25000)*0.27+(25000-V35)*0.2</f>
        <v>2404.3832200000002</v>
      </c>
      <c r="AA35" s="373">
        <f t="shared" si="66"/>
        <v>7659.0139428000002</v>
      </c>
      <c r="AB35" s="373">
        <f t="shared" si="67"/>
        <v>40530.567999999999</v>
      </c>
      <c r="AC35" s="376">
        <f t="shared" si="54"/>
        <v>2735.8133400000002</v>
      </c>
      <c r="AD35" s="373">
        <f t="shared" si="68"/>
        <v>7327.5838227999993</v>
      </c>
      <c r="AE35" s="373">
        <f t="shared" si="69"/>
        <v>50663.21</v>
      </c>
      <c r="AF35" s="376">
        <f t="shared" si="55"/>
        <v>2735.8133400000002</v>
      </c>
      <c r="AG35" s="373">
        <f t="shared" si="70"/>
        <v>7327.5838227999993</v>
      </c>
      <c r="AH35" s="373">
        <f t="shared" si="71"/>
        <v>60795.851999999999</v>
      </c>
      <c r="AI35" s="376">
        <f t="shared" si="72"/>
        <v>2735.8133400000002</v>
      </c>
      <c r="AJ35" s="373">
        <f t="shared" si="73"/>
        <v>7327.5838227999993</v>
      </c>
      <c r="AK35" s="373">
        <f t="shared" si="74"/>
        <v>70928.494000000006</v>
      </c>
      <c r="AL35" s="376">
        <f>H35*0.27</f>
        <v>2735.8133400000002</v>
      </c>
      <c r="AM35" s="373">
        <f t="shared" si="75"/>
        <v>7327.5838227999993</v>
      </c>
      <c r="AN35" s="373">
        <f t="shared" si="76"/>
        <v>81061.135999999999</v>
      </c>
      <c r="AO35" s="376">
        <f>H35*0.27</f>
        <v>2735.8133400000002</v>
      </c>
      <c r="AP35" s="373">
        <f t="shared" si="77"/>
        <v>7327.5838227999993</v>
      </c>
      <c r="AQ35" s="373">
        <f t="shared" si="78"/>
        <v>91193.777999999991</v>
      </c>
      <c r="AR35" s="377">
        <f>(AQ35-88000)*0.35+(88000-AN35)*0.27</f>
        <v>2991.3155799999977</v>
      </c>
      <c r="AS35" s="373">
        <f t="shared" si="79"/>
        <v>7072.0815828000023</v>
      </c>
      <c r="AT35" s="373">
        <f t="shared" si="80"/>
        <v>101326.42</v>
      </c>
      <c r="AU35" s="377">
        <f>H35*0.35</f>
        <v>3546.4246999999996</v>
      </c>
      <c r="AV35" s="373">
        <f t="shared" si="81"/>
        <v>6516.9724628000004</v>
      </c>
      <c r="AW35" s="373">
        <f t="shared" si="82"/>
        <v>111459.06200000001</v>
      </c>
      <c r="AX35" s="377">
        <f t="shared" si="56"/>
        <v>3546.4246999999996</v>
      </c>
      <c r="AY35" s="373">
        <f t="shared" si="83"/>
        <v>6516.9724628000004</v>
      </c>
      <c r="AZ35" s="373">
        <f t="shared" si="84"/>
        <v>121591.704</v>
      </c>
      <c r="BA35" s="377">
        <f t="shared" si="57"/>
        <v>3546.4246999999996</v>
      </c>
      <c r="BB35" s="373">
        <f t="shared" si="58"/>
        <v>6516.9724628000004</v>
      </c>
      <c r="BC35" s="292"/>
      <c r="BE35" s="358"/>
    </row>
    <row r="36" spans="1:57" ht="28.5" x14ac:dyDescent="0.45">
      <c r="A36" s="716"/>
      <c r="B36" s="474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48"/>
        <v>14988.059999999998</v>
      </c>
      <c r="G36" s="233">
        <v>359</v>
      </c>
      <c r="H36" s="353">
        <f t="shared" si="59"/>
        <v>10132.642</v>
      </c>
      <c r="I36" s="363">
        <v>0.55000000000000004</v>
      </c>
      <c r="J36" s="362">
        <v>7100</v>
      </c>
      <c r="K36" s="361">
        <f t="shared" si="11"/>
        <v>7351.1391294666655</v>
      </c>
      <c r="L36" s="390">
        <v>7138.9861377786683</v>
      </c>
      <c r="M36" s="390">
        <f t="shared" si="49"/>
        <v>-212.1529916879972</v>
      </c>
      <c r="N36" s="390"/>
      <c r="O36" s="390">
        <f t="shared" si="60"/>
        <v>7820.3607760283676</v>
      </c>
      <c r="P36" s="390">
        <v>7138.9861377786683</v>
      </c>
      <c r="Q36" s="390">
        <f t="shared" si="61"/>
        <v>212.1529916879972</v>
      </c>
      <c r="R36" s="372">
        <f t="shared" si="50"/>
        <v>69.244837199999992</v>
      </c>
      <c r="S36" s="373">
        <f t="shared" si="51"/>
        <v>10132.642</v>
      </c>
      <c r="T36" s="374">
        <f t="shared" si="52"/>
        <v>1526.5283999999999</v>
      </c>
      <c r="U36" s="373">
        <f t="shared" si="62"/>
        <v>8536.8687628000007</v>
      </c>
      <c r="V36" s="373">
        <f t="shared" si="63"/>
        <v>20265.284</v>
      </c>
      <c r="W36" s="374">
        <f>H36*0.2</f>
        <v>2026.5284000000001</v>
      </c>
      <c r="X36" s="373">
        <f t="shared" si="64"/>
        <v>8036.8687627999998</v>
      </c>
      <c r="Y36" s="373">
        <f t="shared" si="65"/>
        <v>30397.925999999999</v>
      </c>
      <c r="Z36" s="376">
        <f>(Y36-25000)*0.27+(25000-V36)*0.2</f>
        <v>2404.3832200000002</v>
      </c>
      <c r="AA36" s="373">
        <f t="shared" si="66"/>
        <v>7659.0139428000002</v>
      </c>
      <c r="AB36" s="373">
        <f t="shared" si="67"/>
        <v>40530.567999999999</v>
      </c>
      <c r="AC36" s="376">
        <f t="shared" si="54"/>
        <v>2735.8133400000002</v>
      </c>
      <c r="AD36" s="373">
        <f t="shared" si="68"/>
        <v>7327.5838227999993</v>
      </c>
      <c r="AE36" s="373">
        <f t="shared" si="69"/>
        <v>50663.21</v>
      </c>
      <c r="AF36" s="376">
        <f t="shared" si="55"/>
        <v>2735.8133400000002</v>
      </c>
      <c r="AG36" s="373">
        <f t="shared" si="70"/>
        <v>7327.5838227999993</v>
      </c>
      <c r="AH36" s="373">
        <f t="shared" si="71"/>
        <v>60795.851999999999</v>
      </c>
      <c r="AI36" s="376">
        <f t="shared" si="72"/>
        <v>2735.8133400000002</v>
      </c>
      <c r="AJ36" s="373">
        <f t="shared" si="73"/>
        <v>7327.5838227999993</v>
      </c>
      <c r="AK36" s="373">
        <f t="shared" si="74"/>
        <v>70928.494000000006</v>
      </c>
      <c r="AL36" s="376">
        <f>H36*0.27</f>
        <v>2735.8133400000002</v>
      </c>
      <c r="AM36" s="373">
        <f t="shared" si="75"/>
        <v>7327.5838227999993</v>
      </c>
      <c r="AN36" s="373">
        <f t="shared" si="76"/>
        <v>81061.135999999999</v>
      </c>
      <c r="AO36" s="376">
        <f>H36*0.27</f>
        <v>2735.8133400000002</v>
      </c>
      <c r="AP36" s="373">
        <f t="shared" si="77"/>
        <v>7327.5838227999993</v>
      </c>
      <c r="AQ36" s="373">
        <f t="shared" si="78"/>
        <v>91193.777999999991</v>
      </c>
      <c r="AR36" s="377">
        <f>(AQ36-88000)*0.35+(88000-AN36)*0.27</f>
        <v>2991.3155799999977</v>
      </c>
      <c r="AS36" s="373">
        <f t="shared" si="79"/>
        <v>7072.0815828000023</v>
      </c>
      <c r="AT36" s="373">
        <f t="shared" si="80"/>
        <v>101326.42</v>
      </c>
      <c r="AU36" s="377">
        <f>H36*0.35</f>
        <v>3546.4246999999996</v>
      </c>
      <c r="AV36" s="373">
        <f t="shared" si="81"/>
        <v>6516.9724628000004</v>
      </c>
      <c r="AW36" s="373">
        <f t="shared" si="82"/>
        <v>111459.06200000001</v>
      </c>
      <c r="AX36" s="377">
        <f t="shared" si="56"/>
        <v>3546.4246999999996</v>
      </c>
      <c r="AY36" s="373">
        <f t="shared" si="83"/>
        <v>6516.9724628000004</v>
      </c>
      <c r="AZ36" s="373">
        <f t="shared" si="84"/>
        <v>121591.704</v>
      </c>
      <c r="BA36" s="377">
        <f t="shared" si="57"/>
        <v>3546.4246999999996</v>
      </c>
      <c r="BB36" s="373">
        <f t="shared" si="58"/>
        <v>6516.9724628000004</v>
      </c>
      <c r="BC36" s="292"/>
      <c r="BE36" s="358"/>
    </row>
    <row r="37" spans="1:57" ht="28.5" x14ac:dyDescent="0.45">
      <c r="A37" s="716"/>
      <c r="B37" s="474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48"/>
        <v>14988.059999999998</v>
      </c>
      <c r="G37" s="233">
        <v>359</v>
      </c>
      <c r="H37" s="353">
        <f t="shared" si="59"/>
        <v>9633.0399999999991</v>
      </c>
      <c r="I37" s="363">
        <v>0.5</v>
      </c>
      <c r="J37" s="362">
        <v>6900</v>
      </c>
      <c r="K37" s="361">
        <f t="shared" si="11"/>
        <v>7029.695202666665</v>
      </c>
      <c r="L37" s="390">
        <v>6836.8288465866681</v>
      </c>
      <c r="M37" s="390">
        <f t="shared" si="49"/>
        <v>-192.86635607999688</v>
      </c>
      <c r="N37" s="390"/>
      <c r="O37" s="390">
        <f t="shared" si="60"/>
        <v>7478.3991517730483</v>
      </c>
      <c r="P37" s="390">
        <v>6836.8288465866681</v>
      </c>
      <c r="Q37" s="390">
        <f t="shared" si="61"/>
        <v>192.86635607999688</v>
      </c>
      <c r="R37" s="372">
        <f t="shared" si="50"/>
        <v>65.947463999999997</v>
      </c>
      <c r="S37" s="373">
        <f t="shared" si="51"/>
        <v>9633.0399999999991</v>
      </c>
      <c r="T37" s="378">
        <f t="shared" ref="T37:T38" si="87">S37*0.15</f>
        <v>1444.9559999999999</v>
      </c>
      <c r="U37" s="373">
        <f t="shared" si="62"/>
        <v>8122.1365359999982</v>
      </c>
      <c r="V37" s="373">
        <f t="shared" si="63"/>
        <v>19266.079999999998</v>
      </c>
      <c r="W37" s="374">
        <f t="shared" ref="W37:W38" si="88">(V37-10000)*0.2+(10000-S37)*0.15</f>
        <v>1908.2599999999998</v>
      </c>
      <c r="X37" s="373">
        <f t="shared" si="64"/>
        <v>7658.8325359999981</v>
      </c>
      <c r="Y37" s="373">
        <f t="shared" si="65"/>
        <v>28899.119999999995</v>
      </c>
      <c r="Z37" s="376">
        <f>(Y37-25000)*0.27+(25000-V37)*0.2</f>
        <v>2199.5463999999993</v>
      </c>
      <c r="AA37" s="373">
        <f t="shared" si="66"/>
        <v>7367.546135999999</v>
      </c>
      <c r="AB37" s="373">
        <f t="shared" si="67"/>
        <v>38532.159999999996</v>
      </c>
      <c r="AC37" s="376">
        <f t="shared" si="54"/>
        <v>2600.9207999999999</v>
      </c>
      <c r="AD37" s="373">
        <f t="shared" si="68"/>
        <v>6966.1717359999984</v>
      </c>
      <c r="AE37" s="373">
        <f t="shared" si="69"/>
        <v>48165.2</v>
      </c>
      <c r="AF37" s="376">
        <f t="shared" si="55"/>
        <v>2600.9207999999999</v>
      </c>
      <c r="AG37" s="373">
        <f t="shared" si="70"/>
        <v>6966.1717359999984</v>
      </c>
      <c r="AH37" s="373">
        <f t="shared" si="71"/>
        <v>57798.239999999991</v>
      </c>
      <c r="AI37" s="376">
        <f t="shared" si="72"/>
        <v>2600.9207999999999</v>
      </c>
      <c r="AJ37" s="373">
        <f t="shared" si="73"/>
        <v>6966.1717359999984</v>
      </c>
      <c r="AK37" s="373">
        <f t="shared" si="74"/>
        <v>67431.28</v>
      </c>
      <c r="AL37" s="376">
        <f>H37*0.27</f>
        <v>2600.9207999999999</v>
      </c>
      <c r="AM37" s="373">
        <f t="shared" si="75"/>
        <v>6966.1717359999984</v>
      </c>
      <c r="AN37" s="373">
        <f t="shared" si="76"/>
        <v>77064.319999999992</v>
      </c>
      <c r="AO37" s="376">
        <f>H37*0.27</f>
        <v>2600.9207999999999</v>
      </c>
      <c r="AP37" s="373">
        <f t="shared" si="77"/>
        <v>6966.1717359999984</v>
      </c>
      <c r="AQ37" s="373">
        <f t="shared" si="78"/>
        <v>86697.359999999986</v>
      </c>
      <c r="AR37" s="376">
        <f>H37*0.27</f>
        <v>2600.9207999999999</v>
      </c>
      <c r="AS37" s="373">
        <f t="shared" si="79"/>
        <v>6966.1717359999984</v>
      </c>
      <c r="AT37" s="373">
        <f t="shared" si="80"/>
        <v>96330.4</v>
      </c>
      <c r="AU37" s="377">
        <f>(AT37-88000)*0.35+(88000-AQ37)*0.27</f>
        <v>3267.3528000000015</v>
      </c>
      <c r="AV37" s="373">
        <f t="shared" si="81"/>
        <v>6299.7397359999968</v>
      </c>
      <c r="AW37" s="373">
        <f t="shared" si="82"/>
        <v>105963.43999999999</v>
      </c>
      <c r="AX37" s="377">
        <f t="shared" si="56"/>
        <v>3371.5639999999994</v>
      </c>
      <c r="AY37" s="373">
        <f t="shared" si="83"/>
        <v>6195.5285359999989</v>
      </c>
      <c r="AZ37" s="373">
        <f t="shared" si="84"/>
        <v>115596.47999999998</v>
      </c>
      <c r="BA37" s="377">
        <f t="shared" si="57"/>
        <v>3371.5639999999994</v>
      </c>
      <c r="BB37" s="373">
        <f t="shared" si="58"/>
        <v>6195.5285359999989</v>
      </c>
      <c r="BC37" s="292"/>
      <c r="BE37" s="358"/>
    </row>
    <row r="38" spans="1:57" ht="28.5" x14ac:dyDescent="0.45">
      <c r="A38" s="716"/>
      <c r="B38" s="392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48"/>
        <v>14988.059999999998</v>
      </c>
      <c r="G38" s="233">
        <v>359</v>
      </c>
      <c r="H38" s="353">
        <f t="shared" si="59"/>
        <v>6535.507599999999</v>
      </c>
      <c r="I38" s="391">
        <v>0.19</v>
      </c>
      <c r="J38" s="362">
        <v>4900</v>
      </c>
      <c r="K38" s="361">
        <f t="shared" si="11"/>
        <v>4972.9167978399992</v>
      </c>
      <c r="L38" s="390">
        <v>4890.514842049598</v>
      </c>
      <c r="M38" s="390">
        <f t="shared" si="49"/>
        <v>-82.401955790401189</v>
      </c>
      <c r="N38" s="390"/>
      <c r="O38" s="390">
        <f t="shared" si="60"/>
        <v>5290.3370189787229</v>
      </c>
      <c r="P38" s="390">
        <v>4890.514842049598</v>
      </c>
      <c r="Q38" s="390">
        <f t="shared" si="61"/>
        <v>82.401955790401189</v>
      </c>
      <c r="R38" s="372">
        <f t="shared" si="50"/>
        <v>45.503750159999996</v>
      </c>
      <c r="S38" s="373">
        <f t="shared" si="51"/>
        <v>6535.507599999999</v>
      </c>
      <c r="T38" s="378">
        <f t="shared" si="87"/>
        <v>980.32613999999978</v>
      </c>
      <c r="U38" s="373">
        <f t="shared" si="62"/>
        <v>5509.6777098399989</v>
      </c>
      <c r="V38" s="373">
        <f t="shared" si="63"/>
        <v>13071.015199999998</v>
      </c>
      <c r="W38" s="374">
        <f t="shared" si="88"/>
        <v>1133.8768999999998</v>
      </c>
      <c r="X38" s="373">
        <f t="shared" si="64"/>
        <v>5356.1269498399997</v>
      </c>
      <c r="Y38" s="373">
        <f t="shared" si="65"/>
        <v>19606.522799999999</v>
      </c>
      <c r="Z38" s="374">
        <f>S38*0.2</f>
        <v>1307.1015199999999</v>
      </c>
      <c r="AA38" s="373">
        <f t="shared" si="66"/>
        <v>5182.9023298399989</v>
      </c>
      <c r="AB38" s="373">
        <f t="shared" si="67"/>
        <v>26142.030399999996</v>
      </c>
      <c r="AC38" s="376">
        <f>(AB38-25000)*0.27+(25000-Y38)*0.2</f>
        <v>1387.0436479999992</v>
      </c>
      <c r="AD38" s="373">
        <f t="shared" si="68"/>
        <v>5102.9602018400001</v>
      </c>
      <c r="AE38" s="373">
        <f t="shared" si="69"/>
        <v>32677.537999999993</v>
      </c>
      <c r="AF38" s="376">
        <f t="shared" si="55"/>
        <v>1764.5870519999999</v>
      </c>
      <c r="AG38" s="373">
        <f t="shared" si="70"/>
        <v>4725.4167978399992</v>
      </c>
      <c r="AH38" s="373">
        <f t="shared" si="71"/>
        <v>39213.045599999998</v>
      </c>
      <c r="AI38" s="376">
        <f t="shared" si="72"/>
        <v>1764.5870519999999</v>
      </c>
      <c r="AJ38" s="373">
        <f t="shared" si="73"/>
        <v>4725.4167978399992</v>
      </c>
      <c r="AK38" s="373">
        <f t="shared" si="74"/>
        <v>45748.553199999995</v>
      </c>
      <c r="AL38" s="376">
        <f>H38*0.27</f>
        <v>1764.5870519999999</v>
      </c>
      <c r="AM38" s="373">
        <f t="shared" si="75"/>
        <v>4725.4167978399992</v>
      </c>
      <c r="AN38" s="373">
        <f t="shared" si="76"/>
        <v>52284.060799999992</v>
      </c>
      <c r="AO38" s="376">
        <f>H38*0.27</f>
        <v>1764.5870519999999</v>
      </c>
      <c r="AP38" s="373">
        <f t="shared" si="77"/>
        <v>4725.4167978399992</v>
      </c>
      <c r="AQ38" s="373">
        <f t="shared" si="78"/>
        <v>58819.568399999989</v>
      </c>
      <c r="AR38" s="376">
        <f>H38*0.27</f>
        <v>1764.5870519999999</v>
      </c>
      <c r="AS38" s="373">
        <f t="shared" si="79"/>
        <v>4725.4167978399992</v>
      </c>
      <c r="AT38" s="373">
        <f t="shared" si="80"/>
        <v>65355.075999999986</v>
      </c>
      <c r="AU38" s="376">
        <f>H38*0.27</f>
        <v>1764.5870519999999</v>
      </c>
      <c r="AV38" s="373">
        <f t="shared" si="81"/>
        <v>4725.4167978399992</v>
      </c>
      <c r="AW38" s="373">
        <f t="shared" si="82"/>
        <v>71890.583599999984</v>
      </c>
      <c r="AX38" s="376">
        <f>H38*0.27</f>
        <v>1764.5870519999999</v>
      </c>
      <c r="AY38" s="373">
        <f t="shared" si="83"/>
        <v>4725.4167978399992</v>
      </c>
      <c r="AZ38" s="373">
        <f t="shared" si="84"/>
        <v>78426.091199999995</v>
      </c>
      <c r="BA38" s="376">
        <f>H38*0.27</f>
        <v>1764.5870519999999</v>
      </c>
      <c r="BB38" s="373">
        <f t="shared" si="58"/>
        <v>4725.4167978399992</v>
      </c>
      <c r="BC38" s="292"/>
      <c r="BE38" s="358"/>
    </row>
    <row r="39" spans="1:57" ht="28.5" x14ac:dyDescent="0.45">
      <c r="A39" s="716" t="s">
        <v>29</v>
      </c>
      <c r="B39" s="474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48"/>
        <v>24980.1</v>
      </c>
      <c r="G39" s="233">
        <v>359</v>
      </c>
      <c r="H39" s="353">
        <f t="shared" si="59"/>
        <v>17027.149599999997</v>
      </c>
      <c r="I39" s="363">
        <v>0.62</v>
      </c>
      <c r="J39" s="362">
        <v>11600</v>
      </c>
      <c r="K39" s="361">
        <f t="shared" si="11"/>
        <v>11787.065319306663</v>
      </c>
      <c r="L39" s="390">
        <v>11308.756756228262</v>
      </c>
      <c r="M39" s="390">
        <f t="shared" si="49"/>
        <v>-478.30856307840077</v>
      </c>
      <c r="N39" s="390"/>
      <c r="O39" s="390">
        <f t="shared" si="60"/>
        <v>12539.431190751769</v>
      </c>
      <c r="P39" s="390">
        <v>11308.756756228262</v>
      </c>
      <c r="Q39" s="390">
        <f t="shared" si="61"/>
        <v>478.30856307840077</v>
      </c>
      <c r="R39" s="372">
        <f t="shared" si="50"/>
        <v>114.74858735999997</v>
      </c>
      <c r="S39" s="373">
        <f t="shared" si="51"/>
        <v>17027.149599999997</v>
      </c>
      <c r="T39" s="374">
        <f t="shared" si="52"/>
        <v>2905.4299199999996</v>
      </c>
      <c r="U39" s="373">
        <f t="shared" si="62"/>
        <v>14006.971092639997</v>
      </c>
      <c r="V39" s="373">
        <f t="shared" si="63"/>
        <v>34054.299199999994</v>
      </c>
      <c r="W39" s="376">
        <f>(V39-25000)*0.27+(25000-S39)*0.2</f>
        <v>4039.2308639999992</v>
      </c>
      <c r="X39" s="373">
        <f t="shared" si="64"/>
        <v>12873.170148639996</v>
      </c>
      <c r="Y39" s="373">
        <f t="shared" si="65"/>
        <v>51081.448799999991</v>
      </c>
      <c r="Z39" s="376">
        <f t="shared" ref="Z39:Z41" si="89">S39*0.27</f>
        <v>4597.3303919999998</v>
      </c>
      <c r="AA39" s="373">
        <f t="shared" si="66"/>
        <v>12315.070620639995</v>
      </c>
      <c r="AB39" s="373">
        <f t="shared" si="67"/>
        <v>68108.598399999988</v>
      </c>
      <c r="AC39" s="376">
        <f t="shared" ref="AC39:AC45" si="90">H39*0.27</f>
        <v>4597.3303919999998</v>
      </c>
      <c r="AD39" s="373">
        <f t="shared" si="68"/>
        <v>12315.070620639995</v>
      </c>
      <c r="AE39" s="373">
        <f t="shared" si="69"/>
        <v>85135.747999999992</v>
      </c>
      <c r="AF39" s="376">
        <f t="shared" si="55"/>
        <v>4597.3303919999998</v>
      </c>
      <c r="AG39" s="373">
        <f t="shared" si="70"/>
        <v>12315.070620639995</v>
      </c>
      <c r="AH39" s="373">
        <f t="shared" si="71"/>
        <v>102162.89759999998</v>
      </c>
      <c r="AI39" s="377">
        <f>(AH39-88000)*0.35+(88000-AE39)*0.27</f>
        <v>5730.3621999999959</v>
      </c>
      <c r="AJ39" s="373">
        <f t="shared" si="73"/>
        <v>11182.038812639999</v>
      </c>
      <c r="AK39" s="373">
        <f t="shared" si="74"/>
        <v>119190.04719999997</v>
      </c>
      <c r="AL39" s="377">
        <f>H39*0.35</f>
        <v>5959.5023599999986</v>
      </c>
      <c r="AM39" s="373">
        <f t="shared" si="75"/>
        <v>10952.898652639997</v>
      </c>
      <c r="AN39" s="373">
        <f t="shared" si="76"/>
        <v>136217.19679999998</v>
      </c>
      <c r="AO39" s="377">
        <f>H39*0.35</f>
        <v>5959.5023599999986</v>
      </c>
      <c r="AP39" s="373">
        <f t="shared" si="77"/>
        <v>10952.898652639997</v>
      </c>
      <c r="AQ39" s="373">
        <f t="shared" si="78"/>
        <v>153244.34639999998</v>
      </c>
      <c r="AR39" s="377">
        <f>H39*0.35</f>
        <v>5959.5023599999986</v>
      </c>
      <c r="AS39" s="373">
        <f t="shared" si="79"/>
        <v>10952.898652639997</v>
      </c>
      <c r="AT39" s="373">
        <f t="shared" si="80"/>
        <v>170271.49599999998</v>
      </c>
      <c r="AU39" s="377">
        <f>H39*0.35</f>
        <v>5959.5023599999986</v>
      </c>
      <c r="AV39" s="373">
        <f t="shared" si="81"/>
        <v>10952.898652639997</v>
      </c>
      <c r="AW39" s="373">
        <f t="shared" si="82"/>
        <v>187298.64559999996</v>
      </c>
      <c r="AX39" s="377">
        <f t="shared" ref="AX39:AX45" si="91">H39*0.35</f>
        <v>5959.5023599999986</v>
      </c>
      <c r="AY39" s="373">
        <f t="shared" si="83"/>
        <v>10952.898652639997</v>
      </c>
      <c r="AZ39" s="373">
        <f t="shared" si="84"/>
        <v>204325.79519999996</v>
      </c>
      <c r="BA39" s="377">
        <f t="shared" ref="BA39:BA46" si="92">H39*0.35</f>
        <v>5959.5023599999986</v>
      </c>
      <c r="BB39" s="373">
        <f t="shared" si="58"/>
        <v>10952.898652639997</v>
      </c>
      <c r="BC39" s="292"/>
      <c r="BE39" s="358"/>
    </row>
    <row r="40" spans="1:57" ht="28.5" x14ac:dyDescent="0.45">
      <c r="A40" s="716"/>
      <c r="B40" s="474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48"/>
        <v>24980.1</v>
      </c>
      <c r="G40" s="233">
        <v>359</v>
      </c>
      <c r="H40" s="353">
        <f t="shared" si="59"/>
        <v>11231.7664</v>
      </c>
      <c r="I40" s="363">
        <v>0.33</v>
      </c>
      <c r="J40" s="362">
        <v>7900</v>
      </c>
      <c r="K40" s="361">
        <f t="shared" si="11"/>
        <v>8045.9548937600021</v>
      </c>
      <c r="L40" s="390">
        <v>7803.7321784010674</v>
      </c>
      <c r="M40" s="390">
        <f t="shared" si="49"/>
        <v>-242.22271535893469</v>
      </c>
      <c r="N40" s="390"/>
      <c r="O40" s="390">
        <f t="shared" si="60"/>
        <v>8559.5264827234078</v>
      </c>
      <c r="P40" s="390">
        <v>7803.7321784010674</v>
      </c>
      <c r="Q40" s="390">
        <f t="shared" si="61"/>
        <v>242.22271535893469</v>
      </c>
      <c r="R40" s="372">
        <f t="shared" si="50"/>
        <v>76.499058239999997</v>
      </c>
      <c r="S40" s="373">
        <f t="shared" si="51"/>
        <v>11231.7664</v>
      </c>
      <c r="T40" s="374">
        <f t="shared" si="52"/>
        <v>1746.35328</v>
      </c>
      <c r="U40" s="373">
        <f t="shared" si="62"/>
        <v>9408.9140617600005</v>
      </c>
      <c r="V40" s="373">
        <f t="shared" si="63"/>
        <v>22463.532800000001</v>
      </c>
      <c r="W40" s="374">
        <f>H40*0.2</f>
        <v>2246.3532800000003</v>
      </c>
      <c r="X40" s="373">
        <f t="shared" si="64"/>
        <v>8908.9140617599987</v>
      </c>
      <c r="Y40" s="373">
        <f t="shared" si="65"/>
        <v>33695.299200000001</v>
      </c>
      <c r="Z40" s="376">
        <f t="shared" ref="Z40:Z45" si="93">(Y40-25000)*0.27+(25000-V40)*0.2</f>
        <v>2855.0242240000002</v>
      </c>
      <c r="AA40" s="373">
        <f t="shared" si="66"/>
        <v>8300.2431177599992</v>
      </c>
      <c r="AB40" s="373">
        <f t="shared" si="67"/>
        <v>44927.065600000002</v>
      </c>
      <c r="AC40" s="376">
        <f t="shared" si="90"/>
        <v>3032.5769280000004</v>
      </c>
      <c r="AD40" s="373">
        <f t="shared" si="68"/>
        <v>8122.6904137599995</v>
      </c>
      <c r="AE40" s="373">
        <f t="shared" si="69"/>
        <v>56158.832000000002</v>
      </c>
      <c r="AF40" s="376">
        <f t="shared" si="55"/>
        <v>3032.5769280000004</v>
      </c>
      <c r="AG40" s="373">
        <f t="shared" si="70"/>
        <v>8122.6904137599995</v>
      </c>
      <c r="AH40" s="373">
        <f t="shared" si="71"/>
        <v>67390.598400000003</v>
      </c>
      <c r="AI40" s="376">
        <f t="shared" ref="AI40:AI52" si="94">H40*0.27</f>
        <v>3032.5769280000004</v>
      </c>
      <c r="AJ40" s="373">
        <f t="shared" si="73"/>
        <v>8122.6904137599995</v>
      </c>
      <c r="AK40" s="373">
        <f t="shared" si="74"/>
        <v>78622.36480000001</v>
      </c>
      <c r="AL40" s="376">
        <f>H40*0.27</f>
        <v>3032.5769280000004</v>
      </c>
      <c r="AM40" s="373">
        <f t="shared" si="75"/>
        <v>8122.6904137599995</v>
      </c>
      <c r="AN40" s="373">
        <f t="shared" si="76"/>
        <v>89854.131200000003</v>
      </c>
      <c r="AO40" s="377">
        <f>(AN40-88000)*0.35+(88000-AK40)*0.27</f>
        <v>3180.9074239999986</v>
      </c>
      <c r="AP40" s="373">
        <f t="shared" si="77"/>
        <v>7974.3599177600008</v>
      </c>
      <c r="AQ40" s="373">
        <f t="shared" si="78"/>
        <v>101085.8976</v>
      </c>
      <c r="AR40" s="377">
        <f>(AQ40-88000)*0.35+(88000-AN40)*0.27</f>
        <v>4079.4487359999971</v>
      </c>
      <c r="AS40" s="373">
        <f t="shared" si="79"/>
        <v>7075.8186057600033</v>
      </c>
      <c r="AT40" s="373">
        <f t="shared" si="80"/>
        <v>112317.664</v>
      </c>
      <c r="AU40" s="377">
        <f>H40*0.35</f>
        <v>3931.1182399999998</v>
      </c>
      <c r="AV40" s="373">
        <f t="shared" si="81"/>
        <v>7224.1491017600001</v>
      </c>
      <c r="AW40" s="373">
        <f t="shared" si="82"/>
        <v>123549.43040000001</v>
      </c>
      <c r="AX40" s="377">
        <f t="shared" si="91"/>
        <v>3931.1182399999998</v>
      </c>
      <c r="AY40" s="373">
        <f t="shared" si="83"/>
        <v>7224.1491017600001</v>
      </c>
      <c r="AZ40" s="373">
        <f t="shared" si="84"/>
        <v>134781.19680000001</v>
      </c>
      <c r="BA40" s="377">
        <f t="shared" si="92"/>
        <v>3931.1182399999998</v>
      </c>
      <c r="BB40" s="373">
        <f t="shared" si="58"/>
        <v>7224.1491017600001</v>
      </c>
      <c r="BC40" s="292"/>
      <c r="BE40" s="358"/>
    </row>
    <row r="41" spans="1:57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48"/>
        <v>19984.079999999998</v>
      </c>
      <c r="G41" s="233">
        <v>359</v>
      </c>
      <c r="H41" s="353">
        <f t="shared" si="59"/>
        <v>12880.453000000001</v>
      </c>
      <c r="I41" s="363">
        <v>0.55000000000000004</v>
      </c>
      <c r="J41" s="362">
        <v>9000</v>
      </c>
      <c r="K41" s="361">
        <f t="shared" si="11"/>
        <v>9104.6595868666645</v>
      </c>
      <c r="L41" s="390">
        <v>8800.8512393346664</v>
      </c>
      <c r="M41" s="390">
        <f t="shared" si="49"/>
        <v>-303.80834753199815</v>
      </c>
      <c r="N41" s="390"/>
      <c r="O41" s="390">
        <f t="shared" si="60"/>
        <v>9685.8080711347502</v>
      </c>
      <c r="P41" s="390">
        <v>8800.8512393346664</v>
      </c>
      <c r="Q41" s="390">
        <f t="shared" si="61"/>
        <v>303.80834753199815</v>
      </c>
      <c r="R41" s="372">
        <f t="shared" si="50"/>
        <v>87.380389800000003</v>
      </c>
      <c r="S41" s="373">
        <f t="shared" si="51"/>
        <v>12880.453000000001</v>
      </c>
      <c r="T41" s="374">
        <f t="shared" si="52"/>
        <v>2076.0906000000004</v>
      </c>
      <c r="U41" s="373">
        <f t="shared" si="62"/>
        <v>10716.982010200001</v>
      </c>
      <c r="V41" s="373">
        <f t="shared" si="63"/>
        <v>25760.906000000003</v>
      </c>
      <c r="W41" s="376">
        <f>(V41-25000)*0.27+(25000-S41)*0.2</f>
        <v>2629.3540200000007</v>
      </c>
      <c r="X41" s="373">
        <f t="shared" si="64"/>
        <v>10163.7185902</v>
      </c>
      <c r="Y41" s="373">
        <f t="shared" si="65"/>
        <v>38641.359000000004</v>
      </c>
      <c r="Z41" s="376">
        <f t="shared" si="89"/>
        <v>3477.7223100000006</v>
      </c>
      <c r="AA41" s="373">
        <f t="shared" si="66"/>
        <v>9315.3503001999998</v>
      </c>
      <c r="AB41" s="373">
        <f t="shared" si="67"/>
        <v>51521.812000000005</v>
      </c>
      <c r="AC41" s="376">
        <f t="shared" si="90"/>
        <v>3477.7223100000006</v>
      </c>
      <c r="AD41" s="373">
        <f t="shared" si="68"/>
        <v>9315.3503001999998</v>
      </c>
      <c r="AE41" s="373">
        <f t="shared" si="69"/>
        <v>64402.265000000007</v>
      </c>
      <c r="AF41" s="376">
        <f t="shared" si="55"/>
        <v>3477.7223100000006</v>
      </c>
      <c r="AG41" s="373">
        <f t="shared" si="70"/>
        <v>9315.3503001999998</v>
      </c>
      <c r="AH41" s="373">
        <f t="shared" si="71"/>
        <v>77282.718000000008</v>
      </c>
      <c r="AI41" s="376">
        <f t="shared" si="94"/>
        <v>3477.7223100000006</v>
      </c>
      <c r="AJ41" s="373">
        <f t="shared" si="73"/>
        <v>9315.3503001999998</v>
      </c>
      <c r="AK41" s="373">
        <f t="shared" si="74"/>
        <v>90163.171000000002</v>
      </c>
      <c r="AL41" s="377">
        <f>(AK41-88000)*0.35+(88000-AH41)*0.27</f>
        <v>3650.7759899999987</v>
      </c>
      <c r="AM41" s="373">
        <f t="shared" si="75"/>
        <v>9142.2966202000025</v>
      </c>
      <c r="AN41" s="373">
        <f t="shared" si="76"/>
        <v>103043.62400000001</v>
      </c>
      <c r="AO41" s="377">
        <f>(AN41-88000)*0.35+(88000-AK41)*0.27</f>
        <v>4681.2122300000028</v>
      </c>
      <c r="AP41" s="373">
        <f t="shared" si="77"/>
        <v>8111.860380199998</v>
      </c>
      <c r="AQ41" s="373">
        <f t="shared" si="78"/>
        <v>115924.07700000002</v>
      </c>
      <c r="AR41" s="377">
        <f>H41*0.35</f>
        <v>4508.1585500000001</v>
      </c>
      <c r="AS41" s="373">
        <f t="shared" si="79"/>
        <v>8284.9140602000007</v>
      </c>
      <c r="AT41" s="373">
        <f t="shared" si="80"/>
        <v>128804.53000000001</v>
      </c>
      <c r="AU41" s="377">
        <f>H41*0.35</f>
        <v>4508.1585500000001</v>
      </c>
      <c r="AV41" s="373">
        <f t="shared" si="81"/>
        <v>8284.9140602000007</v>
      </c>
      <c r="AW41" s="373">
        <f t="shared" si="82"/>
        <v>141684.98300000001</v>
      </c>
      <c r="AX41" s="377">
        <f t="shared" si="91"/>
        <v>4508.1585500000001</v>
      </c>
      <c r="AY41" s="373">
        <f t="shared" si="83"/>
        <v>8284.9140602000007</v>
      </c>
      <c r="AZ41" s="373">
        <f t="shared" si="84"/>
        <v>154565.43600000002</v>
      </c>
      <c r="BA41" s="377">
        <f t="shared" si="92"/>
        <v>4508.1585500000001</v>
      </c>
      <c r="BB41" s="373">
        <f t="shared" si="58"/>
        <v>8284.9140602000007</v>
      </c>
      <c r="BC41" s="292"/>
      <c r="BE41" s="358"/>
    </row>
    <row r="42" spans="1:57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48"/>
        <v>19984.079999999998</v>
      </c>
      <c r="G42" s="233">
        <v>359</v>
      </c>
      <c r="H42" s="353">
        <f t="shared" si="59"/>
        <v>11231.7664</v>
      </c>
      <c r="I42" s="363">
        <v>0.44</v>
      </c>
      <c r="J42" s="362">
        <v>8000</v>
      </c>
      <c r="K42" s="361">
        <f t="shared" si="11"/>
        <v>8058.3157684266689</v>
      </c>
      <c r="L42" s="390">
        <v>7803.7321784010674</v>
      </c>
      <c r="M42" s="390">
        <f t="shared" si="49"/>
        <v>-254.58359002560155</v>
      </c>
      <c r="N42" s="390"/>
      <c r="O42" s="390">
        <f t="shared" si="60"/>
        <v>8572.6763493900744</v>
      </c>
      <c r="P42" s="390">
        <v>7803.7321784010674</v>
      </c>
      <c r="Q42" s="390">
        <f t="shared" si="61"/>
        <v>254.58359002560155</v>
      </c>
      <c r="R42" s="372">
        <f t="shared" si="50"/>
        <v>76.499058239999997</v>
      </c>
      <c r="S42" s="373">
        <f t="shared" si="51"/>
        <v>11231.7664</v>
      </c>
      <c r="T42" s="374">
        <f t="shared" si="52"/>
        <v>1746.35328</v>
      </c>
      <c r="U42" s="373">
        <f t="shared" si="62"/>
        <v>9408.9140617600005</v>
      </c>
      <c r="V42" s="373">
        <f t="shared" si="63"/>
        <v>22463.532800000001</v>
      </c>
      <c r="W42" s="374">
        <f>H42*0.2</f>
        <v>2246.3532800000003</v>
      </c>
      <c r="X42" s="373">
        <f t="shared" si="64"/>
        <v>8908.9140617599987</v>
      </c>
      <c r="Y42" s="373">
        <f t="shared" si="65"/>
        <v>33695.299200000001</v>
      </c>
      <c r="Z42" s="376">
        <f t="shared" si="93"/>
        <v>2855.0242240000002</v>
      </c>
      <c r="AA42" s="373">
        <f t="shared" si="66"/>
        <v>8300.2431177599992</v>
      </c>
      <c r="AB42" s="373">
        <f t="shared" si="67"/>
        <v>44927.065600000002</v>
      </c>
      <c r="AC42" s="376">
        <f t="shared" si="90"/>
        <v>3032.5769280000004</v>
      </c>
      <c r="AD42" s="373">
        <f t="shared" si="68"/>
        <v>8122.6904137599995</v>
      </c>
      <c r="AE42" s="373">
        <f t="shared" si="69"/>
        <v>56158.832000000002</v>
      </c>
      <c r="AF42" s="376">
        <f t="shared" si="55"/>
        <v>3032.5769280000004</v>
      </c>
      <c r="AG42" s="373">
        <f t="shared" si="70"/>
        <v>8122.6904137599995</v>
      </c>
      <c r="AH42" s="373">
        <f t="shared" si="71"/>
        <v>67390.598400000003</v>
      </c>
      <c r="AI42" s="376">
        <f t="shared" si="94"/>
        <v>3032.5769280000004</v>
      </c>
      <c r="AJ42" s="373">
        <f t="shared" si="73"/>
        <v>8122.6904137599995</v>
      </c>
      <c r="AK42" s="373">
        <f t="shared" si="74"/>
        <v>78622.36480000001</v>
      </c>
      <c r="AL42" s="376">
        <f t="shared" ref="AL42:AL52" si="95">H42*0.27</f>
        <v>3032.5769280000004</v>
      </c>
      <c r="AM42" s="373">
        <f t="shared" si="75"/>
        <v>8122.6904137599995</v>
      </c>
      <c r="AN42" s="373">
        <f t="shared" si="76"/>
        <v>89854.131200000003</v>
      </c>
      <c r="AO42" s="377">
        <f>(AN42-88000)*0.35+(88000-AK42)*0.27</f>
        <v>3180.9074239999986</v>
      </c>
      <c r="AP42" s="373">
        <f t="shared" si="77"/>
        <v>7974.3599177600008</v>
      </c>
      <c r="AQ42" s="373">
        <f t="shared" si="78"/>
        <v>101085.8976</v>
      </c>
      <c r="AR42" s="377">
        <f>H42*0.35</f>
        <v>3931.1182399999998</v>
      </c>
      <c r="AS42" s="373">
        <f t="shared" si="79"/>
        <v>7224.1491017600001</v>
      </c>
      <c r="AT42" s="373">
        <f t="shared" si="80"/>
        <v>112317.664</v>
      </c>
      <c r="AU42" s="377">
        <f>H42*0.35</f>
        <v>3931.1182399999998</v>
      </c>
      <c r="AV42" s="373">
        <f t="shared" si="81"/>
        <v>7224.1491017600001</v>
      </c>
      <c r="AW42" s="373">
        <f t="shared" si="82"/>
        <v>123549.43040000001</v>
      </c>
      <c r="AX42" s="377">
        <f t="shared" si="91"/>
        <v>3931.1182399999998</v>
      </c>
      <c r="AY42" s="373">
        <f t="shared" si="83"/>
        <v>7224.1491017600001</v>
      </c>
      <c r="AZ42" s="373">
        <f t="shared" si="84"/>
        <v>134781.19680000001</v>
      </c>
      <c r="BA42" s="377">
        <f t="shared" si="92"/>
        <v>3931.1182399999998</v>
      </c>
      <c r="BB42" s="373">
        <f t="shared" si="58"/>
        <v>7224.1491017600001</v>
      </c>
      <c r="BC42" s="292"/>
      <c r="BE42" s="358"/>
    </row>
    <row r="43" spans="1:57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48"/>
        <v>19984.079999999998</v>
      </c>
      <c r="G43" s="233">
        <v>359</v>
      </c>
      <c r="H43" s="353">
        <f t="shared" si="59"/>
        <v>9732.9603999999999</v>
      </c>
      <c r="I43" s="363">
        <v>0.34</v>
      </c>
      <c r="J43" s="362">
        <v>7000</v>
      </c>
      <c r="K43" s="361">
        <f t="shared" si="11"/>
        <v>7093.9839880266663</v>
      </c>
      <c r="L43" s="390">
        <v>6897.2603048250676</v>
      </c>
      <c r="M43" s="390">
        <f t="shared" si="49"/>
        <v>-196.72368320159876</v>
      </c>
      <c r="N43" s="390"/>
      <c r="O43" s="390">
        <f t="shared" si="60"/>
        <v>7546.7914766241138</v>
      </c>
      <c r="P43" s="390">
        <v>6897.2603048250676</v>
      </c>
      <c r="Q43" s="390">
        <f t="shared" si="61"/>
        <v>196.72368320159876</v>
      </c>
      <c r="R43" s="372">
        <f t="shared" si="50"/>
        <v>66.606938639999996</v>
      </c>
      <c r="S43" s="373">
        <f t="shared" si="51"/>
        <v>9732.9603999999999</v>
      </c>
      <c r="T43" s="378">
        <f t="shared" ref="T43:T54" si="96">S43*0.15</f>
        <v>1459.94406</v>
      </c>
      <c r="U43" s="373">
        <f t="shared" si="62"/>
        <v>8206.4094013600006</v>
      </c>
      <c r="V43" s="373">
        <f t="shared" si="63"/>
        <v>19465.9208</v>
      </c>
      <c r="W43" s="374">
        <f t="shared" ref="W43:W52" si="97">(V43-10000)*0.2+(10000-S43)*0.15</f>
        <v>1933.2401</v>
      </c>
      <c r="X43" s="373">
        <f t="shared" si="64"/>
        <v>7733.1133613600005</v>
      </c>
      <c r="Y43" s="373">
        <f t="shared" si="65"/>
        <v>29198.8812</v>
      </c>
      <c r="Z43" s="376">
        <f t="shared" si="93"/>
        <v>2240.5137640000003</v>
      </c>
      <c r="AA43" s="373">
        <f t="shared" si="66"/>
        <v>7425.8396973600002</v>
      </c>
      <c r="AB43" s="373">
        <f t="shared" si="67"/>
        <v>38931.8416</v>
      </c>
      <c r="AC43" s="376">
        <f t="shared" si="90"/>
        <v>2627.899308</v>
      </c>
      <c r="AD43" s="373">
        <f t="shared" si="68"/>
        <v>7038.4541533600004</v>
      </c>
      <c r="AE43" s="373">
        <f t="shared" si="69"/>
        <v>48664.801999999996</v>
      </c>
      <c r="AF43" s="376">
        <f t="shared" si="55"/>
        <v>2627.899308</v>
      </c>
      <c r="AG43" s="373">
        <f t="shared" si="70"/>
        <v>7038.4541533600004</v>
      </c>
      <c r="AH43" s="373">
        <f t="shared" si="71"/>
        <v>58397.7624</v>
      </c>
      <c r="AI43" s="376">
        <f t="shared" si="94"/>
        <v>2627.899308</v>
      </c>
      <c r="AJ43" s="373">
        <f t="shared" si="73"/>
        <v>7038.4541533600004</v>
      </c>
      <c r="AK43" s="373">
        <f t="shared" si="74"/>
        <v>68130.722800000003</v>
      </c>
      <c r="AL43" s="376">
        <f t="shared" si="95"/>
        <v>2627.899308</v>
      </c>
      <c r="AM43" s="373">
        <f t="shared" si="75"/>
        <v>7038.4541533600004</v>
      </c>
      <c r="AN43" s="373">
        <f t="shared" si="76"/>
        <v>77863.683199999999</v>
      </c>
      <c r="AO43" s="376">
        <f t="shared" ref="AO43:AO54" si="98">H43*0.27</f>
        <v>2627.899308</v>
      </c>
      <c r="AP43" s="373">
        <f t="shared" si="77"/>
        <v>7038.4541533600004</v>
      </c>
      <c r="AQ43" s="373">
        <f t="shared" si="78"/>
        <v>87596.643599999996</v>
      </c>
      <c r="AR43" s="376">
        <f>H43*0.27</f>
        <v>2627.899308</v>
      </c>
      <c r="AS43" s="373">
        <f t="shared" si="79"/>
        <v>7038.4541533600004</v>
      </c>
      <c r="AT43" s="373">
        <f t="shared" si="80"/>
        <v>97329.603999999992</v>
      </c>
      <c r="AU43" s="377">
        <f>(AT43-88000)*0.35+(88000-AQ43)*0.27</f>
        <v>3374.2676279999982</v>
      </c>
      <c r="AV43" s="373">
        <f t="shared" si="81"/>
        <v>6292.0858333600027</v>
      </c>
      <c r="AW43" s="373">
        <f t="shared" si="82"/>
        <v>107062.5644</v>
      </c>
      <c r="AX43" s="377">
        <f t="shared" si="91"/>
        <v>3406.5361399999997</v>
      </c>
      <c r="AY43" s="373">
        <f t="shared" si="83"/>
        <v>6259.8173213600003</v>
      </c>
      <c r="AZ43" s="373">
        <f t="shared" si="84"/>
        <v>116795.5248</v>
      </c>
      <c r="BA43" s="377">
        <f t="shared" si="92"/>
        <v>3406.5361399999997</v>
      </c>
      <c r="BB43" s="373">
        <f t="shared" si="58"/>
        <v>6259.8173213600003</v>
      </c>
      <c r="BC43" s="292"/>
      <c r="BE43" s="358"/>
    </row>
    <row r="44" spans="1:57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48"/>
        <v>19984.079999999998</v>
      </c>
      <c r="G44" s="233">
        <v>359</v>
      </c>
      <c r="H44" s="353">
        <f t="shared" si="59"/>
        <v>9283.3185999999987</v>
      </c>
      <c r="I44" s="363">
        <v>0.31</v>
      </c>
      <c r="J44" s="362">
        <v>6700</v>
      </c>
      <c r="K44" s="361">
        <f t="shared" si="11"/>
        <v>6804.684453906666</v>
      </c>
      <c r="L44" s="390">
        <v>6625.3187427522671</v>
      </c>
      <c r="M44" s="390">
        <f t="shared" si="49"/>
        <v>-179.36571115439892</v>
      </c>
      <c r="N44" s="390"/>
      <c r="O44" s="390">
        <f t="shared" si="60"/>
        <v>7239.0260147943263</v>
      </c>
      <c r="P44" s="390">
        <v>6625.3187427522671</v>
      </c>
      <c r="Q44" s="390">
        <f t="shared" si="61"/>
        <v>179.36571115439892</v>
      </c>
      <c r="R44" s="372">
        <f t="shared" si="50"/>
        <v>63.639302759999993</v>
      </c>
      <c r="S44" s="373">
        <f t="shared" si="51"/>
        <v>9283.3185999999987</v>
      </c>
      <c r="T44" s="378">
        <f t="shared" si="96"/>
        <v>1392.4977899999997</v>
      </c>
      <c r="U44" s="373">
        <f t="shared" si="62"/>
        <v>7827.1815072399986</v>
      </c>
      <c r="V44" s="373">
        <f t="shared" si="63"/>
        <v>18566.637199999997</v>
      </c>
      <c r="W44" s="374">
        <f t="shared" si="97"/>
        <v>1820.8296499999997</v>
      </c>
      <c r="X44" s="373">
        <f t="shared" si="64"/>
        <v>7398.8496472399984</v>
      </c>
      <c r="Y44" s="373">
        <f t="shared" si="65"/>
        <v>27849.955799999996</v>
      </c>
      <c r="Z44" s="376">
        <f t="shared" si="93"/>
        <v>2056.1606259999999</v>
      </c>
      <c r="AA44" s="373">
        <f t="shared" si="66"/>
        <v>7163.5186712399982</v>
      </c>
      <c r="AB44" s="373">
        <f t="shared" si="67"/>
        <v>37133.274399999995</v>
      </c>
      <c r="AC44" s="376">
        <f t="shared" si="90"/>
        <v>2506.4960219999998</v>
      </c>
      <c r="AD44" s="373">
        <f t="shared" si="68"/>
        <v>6713.1832752399987</v>
      </c>
      <c r="AE44" s="373">
        <f t="shared" si="69"/>
        <v>46416.592999999993</v>
      </c>
      <c r="AF44" s="376">
        <f t="shared" si="55"/>
        <v>2506.4960219999998</v>
      </c>
      <c r="AG44" s="373">
        <f t="shared" si="70"/>
        <v>6713.1832752399987</v>
      </c>
      <c r="AH44" s="373">
        <f t="shared" si="71"/>
        <v>55699.911599999992</v>
      </c>
      <c r="AI44" s="376">
        <f t="shared" si="94"/>
        <v>2506.4960219999998</v>
      </c>
      <c r="AJ44" s="373">
        <f t="shared" si="73"/>
        <v>6713.1832752399987</v>
      </c>
      <c r="AK44" s="373">
        <f t="shared" si="74"/>
        <v>64983.230199999991</v>
      </c>
      <c r="AL44" s="376">
        <f t="shared" si="95"/>
        <v>2506.4960219999998</v>
      </c>
      <c r="AM44" s="373">
        <f t="shared" si="75"/>
        <v>6713.1832752399987</v>
      </c>
      <c r="AN44" s="373">
        <f t="shared" si="76"/>
        <v>74266.54879999999</v>
      </c>
      <c r="AO44" s="376">
        <f t="shared" si="98"/>
        <v>2506.4960219999998</v>
      </c>
      <c r="AP44" s="373">
        <f t="shared" si="77"/>
        <v>6713.1832752399987</v>
      </c>
      <c r="AQ44" s="373">
        <f t="shared" si="78"/>
        <v>83549.867399999988</v>
      </c>
      <c r="AR44" s="376">
        <f>H44*0.27</f>
        <v>2506.4960219999998</v>
      </c>
      <c r="AS44" s="373">
        <f t="shared" si="79"/>
        <v>6713.1832752399987</v>
      </c>
      <c r="AT44" s="373">
        <f t="shared" si="80"/>
        <v>92833.185999999987</v>
      </c>
      <c r="AU44" s="377">
        <f>(AT44-88000)*0.35+(88000-AQ44)*0.27</f>
        <v>2893.1509019999985</v>
      </c>
      <c r="AV44" s="373">
        <f t="shared" si="81"/>
        <v>6326.5283952399996</v>
      </c>
      <c r="AW44" s="373">
        <f t="shared" si="82"/>
        <v>102116.50459999999</v>
      </c>
      <c r="AX44" s="377">
        <f t="shared" si="91"/>
        <v>3249.1615099999995</v>
      </c>
      <c r="AY44" s="373">
        <f t="shared" si="83"/>
        <v>5970.5177872399981</v>
      </c>
      <c r="AZ44" s="373">
        <f t="shared" si="84"/>
        <v>111399.82319999998</v>
      </c>
      <c r="BA44" s="377">
        <f t="shared" si="92"/>
        <v>3249.1615099999995</v>
      </c>
      <c r="BB44" s="373">
        <f t="shared" si="58"/>
        <v>5970.5177872399981</v>
      </c>
      <c r="BC44" s="292"/>
      <c r="BE44" s="358"/>
    </row>
    <row r="45" spans="1:57" ht="28.5" x14ac:dyDescent="0.45">
      <c r="A45" s="716"/>
      <c r="B45" s="474" t="s">
        <v>226</v>
      </c>
      <c r="C45" s="231">
        <v>200</v>
      </c>
      <c r="D45" s="234">
        <v>4996.0199999999995</v>
      </c>
      <c r="E45" s="234">
        <v>6661.36</v>
      </c>
      <c r="F45" s="234">
        <f t="shared" si="48"/>
        <v>11657.38</v>
      </c>
      <c r="G45" s="233">
        <v>359</v>
      </c>
      <c r="H45" s="353">
        <f t="shared" si="59"/>
        <v>9499.8127999999997</v>
      </c>
      <c r="I45" s="363">
        <v>0.73</v>
      </c>
      <c r="J45" s="362">
        <v>6800</v>
      </c>
      <c r="K45" s="361">
        <f t="shared" si="11"/>
        <v>6943.9768221866652</v>
      </c>
      <c r="L45" s="390">
        <v>6756.2535689354663</v>
      </c>
      <c r="M45" s="390">
        <f t="shared" si="49"/>
        <v>-187.72325325119891</v>
      </c>
      <c r="N45" s="390"/>
      <c r="O45" s="390">
        <f t="shared" si="60"/>
        <v>7387.2093853049637</v>
      </c>
      <c r="P45" s="390">
        <v>6756.2535689354663</v>
      </c>
      <c r="Q45" s="390">
        <f t="shared" si="61"/>
        <v>187.72325325119891</v>
      </c>
      <c r="R45" s="372">
        <f t="shared" si="50"/>
        <v>65.068164479999993</v>
      </c>
      <c r="S45" s="373">
        <f t="shared" si="51"/>
        <v>9499.8127999999997</v>
      </c>
      <c r="T45" s="378">
        <f t="shared" si="96"/>
        <v>1424.97192</v>
      </c>
      <c r="U45" s="373">
        <f t="shared" si="62"/>
        <v>8009.7727155199991</v>
      </c>
      <c r="V45" s="373">
        <f t="shared" si="63"/>
        <v>18999.625599999999</v>
      </c>
      <c r="W45" s="374">
        <f t="shared" si="97"/>
        <v>1874.9531999999999</v>
      </c>
      <c r="X45" s="373">
        <f t="shared" si="64"/>
        <v>7559.7914355199991</v>
      </c>
      <c r="Y45" s="373">
        <f t="shared" si="65"/>
        <v>28499.438399999999</v>
      </c>
      <c r="Z45" s="376">
        <f t="shared" si="93"/>
        <v>2144.9232480000001</v>
      </c>
      <c r="AA45" s="373">
        <f t="shared" si="66"/>
        <v>7289.821387519999</v>
      </c>
      <c r="AB45" s="373">
        <f t="shared" si="67"/>
        <v>37999.251199999999</v>
      </c>
      <c r="AC45" s="376">
        <f t="shared" si="90"/>
        <v>2564.9494560000003</v>
      </c>
      <c r="AD45" s="373">
        <f t="shared" si="68"/>
        <v>6869.7951795199988</v>
      </c>
      <c r="AE45" s="373">
        <f t="shared" si="69"/>
        <v>47499.063999999998</v>
      </c>
      <c r="AF45" s="376">
        <f t="shared" si="55"/>
        <v>2564.9494560000003</v>
      </c>
      <c r="AG45" s="373">
        <f t="shared" si="70"/>
        <v>6869.7951795199988</v>
      </c>
      <c r="AH45" s="373">
        <f t="shared" si="71"/>
        <v>56998.876799999998</v>
      </c>
      <c r="AI45" s="376">
        <f t="shared" si="94"/>
        <v>2564.9494560000003</v>
      </c>
      <c r="AJ45" s="373">
        <f t="shared" si="73"/>
        <v>6869.7951795199988</v>
      </c>
      <c r="AK45" s="373">
        <f t="shared" si="74"/>
        <v>66498.689599999998</v>
      </c>
      <c r="AL45" s="376">
        <f t="shared" si="95"/>
        <v>2564.9494560000003</v>
      </c>
      <c r="AM45" s="373">
        <f t="shared" si="75"/>
        <v>6869.7951795199988</v>
      </c>
      <c r="AN45" s="373">
        <f t="shared" si="76"/>
        <v>75998.502399999998</v>
      </c>
      <c r="AO45" s="376">
        <f t="shared" si="98"/>
        <v>2564.9494560000003</v>
      </c>
      <c r="AP45" s="373">
        <f t="shared" si="77"/>
        <v>6869.7951795199988</v>
      </c>
      <c r="AQ45" s="373">
        <f t="shared" si="78"/>
        <v>85498.315199999997</v>
      </c>
      <c r="AR45" s="376">
        <f>H45*0.27</f>
        <v>2564.9494560000003</v>
      </c>
      <c r="AS45" s="373">
        <f t="shared" si="79"/>
        <v>6869.7951795199988</v>
      </c>
      <c r="AT45" s="373">
        <f t="shared" si="80"/>
        <v>94998.127999999997</v>
      </c>
      <c r="AU45" s="377">
        <f>(AT45-88000)*0.35+(88000-AQ45)*0.27</f>
        <v>3124.7996959999996</v>
      </c>
      <c r="AV45" s="373">
        <f t="shared" si="81"/>
        <v>6309.944939519999</v>
      </c>
      <c r="AW45" s="373">
        <f t="shared" si="82"/>
        <v>104497.9408</v>
      </c>
      <c r="AX45" s="377">
        <f t="shared" si="91"/>
        <v>3324.9344799999999</v>
      </c>
      <c r="AY45" s="373">
        <f t="shared" si="83"/>
        <v>6109.8101555199992</v>
      </c>
      <c r="AZ45" s="373">
        <f t="shared" si="84"/>
        <v>113997.7536</v>
      </c>
      <c r="BA45" s="377">
        <f t="shared" si="92"/>
        <v>3324.9344799999999</v>
      </c>
      <c r="BB45" s="373">
        <f t="shared" si="58"/>
        <v>6109.8101555199992</v>
      </c>
      <c r="BC45" s="292"/>
      <c r="BE45" s="358"/>
    </row>
    <row r="46" spans="1:57" ht="28.5" x14ac:dyDescent="0.45">
      <c r="A46" s="716"/>
      <c r="B46" s="474" t="s">
        <v>227</v>
      </c>
      <c r="C46" s="231">
        <v>200</v>
      </c>
      <c r="D46" s="234">
        <v>4996.0199999999995</v>
      </c>
      <c r="E46" s="234">
        <v>6661.36</v>
      </c>
      <c r="F46" s="234">
        <f t="shared" si="48"/>
        <v>11657.38</v>
      </c>
      <c r="G46" s="233">
        <v>359</v>
      </c>
      <c r="H46" s="353">
        <f t="shared" si="59"/>
        <v>8300.768</v>
      </c>
      <c r="I46" s="363">
        <v>0.55000000000000004</v>
      </c>
      <c r="J46" s="362">
        <v>6000</v>
      </c>
      <c r="K46" s="361">
        <f t="shared" si="11"/>
        <v>6172.5113978666668</v>
      </c>
      <c r="L46" s="390">
        <v>6025.1402412746656</v>
      </c>
      <c r="M46" s="390">
        <f t="shared" si="49"/>
        <v>-147.37115659200117</v>
      </c>
      <c r="N46" s="390"/>
      <c r="O46" s="390">
        <f t="shared" si="60"/>
        <v>6566.5014870921987</v>
      </c>
      <c r="P46" s="390">
        <v>6025.1402412746656</v>
      </c>
      <c r="Q46" s="390">
        <f t="shared" si="61"/>
        <v>147.37115659200117</v>
      </c>
      <c r="R46" s="372">
        <f t="shared" si="50"/>
        <v>57.154468799999997</v>
      </c>
      <c r="S46" s="373">
        <f>$H46*S$4</f>
        <v>8300.768</v>
      </c>
      <c r="T46" s="378">
        <f t="shared" si="96"/>
        <v>1245.1152</v>
      </c>
      <c r="U46" s="373">
        <f t="shared" si="62"/>
        <v>6998.4983312000004</v>
      </c>
      <c r="V46" s="373">
        <f t="shared" si="63"/>
        <v>16601.536</v>
      </c>
      <c r="W46" s="374">
        <f t="shared" si="97"/>
        <v>1575.1920000000002</v>
      </c>
      <c r="X46" s="373">
        <f t="shared" si="64"/>
        <v>6668.4215312000006</v>
      </c>
      <c r="Y46" s="373">
        <f t="shared" si="65"/>
        <v>24902.304</v>
      </c>
      <c r="Z46" s="374">
        <f>H46*0.2</f>
        <v>1660.1536000000001</v>
      </c>
      <c r="AA46" s="373">
        <f t="shared" si="66"/>
        <v>6583.4599312000009</v>
      </c>
      <c r="AB46" s="373">
        <f t="shared" si="67"/>
        <v>33203.072</v>
      </c>
      <c r="AC46" s="376">
        <f>(AB46-25000)*0.27+(25000-Y46)*0.2</f>
        <v>2234.3686400000001</v>
      </c>
      <c r="AD46" s="373">
        <f t="shared" si="68"/>
        <v>6009.2448912</v>
      </c>
      <c r="AE46" s="373">
        <f t="shared" si="69"/>
        <v>41503.839999999997</v>
      </c>
      <c r="AF46" s="376">
        <f t="shared" si="55"/>
        <v>2241.2073600000003</v>
      </c>
      <c r="AG46" s="373">
        <f t="shared" si="70"/>
        <v>6002.4061712000002</v>
      </c>
      <c r="AH46" s="373">
        <f t="shared" si="71"/>
        <v>49804.608</v>
      </c>
      <c r="AI46" s="376">
        <f t="shared" si="94"/>
        <v>2241.2073600000003</v>
      </c>
      <c r="AJ46" s="373">
        <f t="shared" si="73"/>
        <v>6002.4061712000002</v>
      </c>
      <c r="AK46" s="373">
        <f t="shared" si="74"/>
        <v>58105.376000000004</v>
      </c>
      <c r="AL46" s="376">
        <f t="shared" si="95"/>
        <v>2241.2073600000003</v>
      </c>
      <c r="AM46" s="373">
        <f t="shared" si="75"/>
        <v>6002.4061712000002</v>
      </c>
      <c r="AN46" s="373">
        <f t="shared" si="76"/>
        <v>66406.144</v>
      </c>
      <c r="AO46" s="376">
        <f t="shared" si="98"/>
        <v>2241.2073600000003</v>
      </c>
      <c r="AP46" s="373">
        <f t="shared" si="77"/>
        <v>6002.4061712000002</v>
      </c>
      <c r="AQ46" s="373">
        <f t="shared" si="78"/>
        <v>74706.911999999997</v>
      </c>
      <c r="AR46" s="376">
        <f>H46*0.27</f>
        <v>2241.2073600000003</v>
      </c>
      <c r="AS46" s="373">
        <f t="shared" si="79"/>
        <v>6002.4061712000002</v>
      </c>
      <c r="AT46" s="373">
        <f t="shared" si="80"/>
        <v>83007.679999999993</v>
      </c>
      <c r="AU46" s="376">
        <f>H46*0.27</f>
        <v>2241.2073600000003</v>
      </c>
      <c r="AV46" s="373">
        <f t="shared" si="81"/>
        <v>6002.4061712000002</v>
      </c>
      <c r="AW46" s="373">
        <f t="shared" si="82"/>
        <v>91308.448000000004</v>
      </c>
      <c r="AX46" s="377">
        <f>(AW46-88000)*0.35+(88000-AT46)*0.27</f>
        <v>2505.8832000000029</v>
      </c>
      <c r="AY46" s="373">
        <f t="shared" si="83"/>
        <v>5737.7303311999976</v>
      </c>
      <c r="AZ46" s="373">
        <f t="shared" si="84"/>
        <v>99609.216</v>
      </c>
      <c r="BA46" s="377">
        <f t="shared" si="92"/>
        <v>2905.2687999999998</v>
      </c>
      <c r="BB46" s="373">
        <f t="shared" si="58"/>
        <v>5338.3447312000008</v>
      </c>
      <c r="BC46" s="292"/>
      <c r="BE46" s="358"/>
    </row>
    <row r="47" spans="1:57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48"/>
        <v>13988.856</v>
      </c>
      <c r="G47" s="233">
        <v>359</v>
      </c>
      <c r="H47" s="353">
        <f t="shared" si="59"/>
        <v>10212.578319999999</v>
      </c>
      <c r="I47" s="363">
        <v>0.62</v>
      </c>
      <c r="J47" s="362">
        <v>7351</v>
      </c>
      <c r="K47" s="361">
        <f t="shared" si="11"/>
        <v>7402.570157754667</v>
      </c>
      <c r="L47" s="390">
        <v>7187.3313043693861</v>
      </c>
      <c r="M47" s="390">
        <f t="shared" si="49"/>
        <v>-215.23885338528089</v>
      </c>
      <c r="N47" s="390"/>
      <c r="O47" s="390">
        <f t="shared" si="60"/>
        <v>7875.0746359092209</v>
      </c>
      <c r="P47" s="390">
        <v>7187.3313043693861</v>
      </c>
      <c r="Q47" s="390">
        <f t="shared" si="61"/>
        <v>215.23885338528089</v>
      </c>
      <c r="R47" s="372">
        <f t="shared" si="50"/>
        <v>69.772416911999997</v>
      </c>
      <c r="S47" s="373">
        <f t="shared" si="51"/>
        <v>10212.578319999999</v>
      </c>
      <c r="T47" s="374">
        <f t="shared" ref="T47" si="99">(S47-10000)*0.2+10000*0.15</f>
        <v>1542.5156639999998</v>
      </c>
      <c r="U47" s="373">
        <f t="shared" si="62"/>
        <v>8600.290239087999</v>
      </c>
      <c r="V47" s="373">
        <f t="shared" si="63"/>
        <v>20425.156639999997</v>
      </c>
      <c r="W47" s="374">
        <f>H47*0.2</f>
        <v>2042.5156639999998</v>
      </c>
      <c r="X47" s="373">
        <f t="shared" si="64"/>
        <v>8100.2902390879999</v>
      </c>
      <c r="Y47" s="373">
        <f t="shared" si="65"/>
        <v>30637.734959999994</v>
      </c>
      <c r="Z47" s="376">
        <f>(Y47-25000)*0.27+(25000-V47)*0.2</f>
        <v>2437.1571111999992</v>
      </c>
      <c r="AA47" s="373">
        <f t="shared" si="66"/>
        <v>7705.6487918880002</v>
      </c>
      <c r="AB47" s="373">
        <f t="shared" si="67"/>
        <v>40850.313279999995</v>
      </c>
      <c r="AC47" s="376">
        <f>H47*0.27</f>
        <v>2757.3961463999999</v>
      </c>
      <c r="AD47" s="373">
        <f t="shared" si="68"/>
        <v>7385.4097566879991</v>
      </c>
      <c r="AE47" s="373">
        <f t="shared" si="69"/>
        <v>51062.891599999995</v>
      </c>
      <c r="AF47" s="376">
        <f t="shared" si="55"/>
        <v>2757.3961463999999</v>
      </c>
      <c r="AG47" s="373">
        <f t="shared" si="70"/>
        <v>7385.4097566879991</v>
      </c>
      <c r="AH47" s="373">
        <f t="shared" si="71"/>
        <v>61275.469919999989</v>
      </c>
      <c r="AI47" s="376">
        <f t="shared" si="94"/>
        <v>2757.3961463999999</v>
      </c>
      <c r="AJ47" s="373">
        <f t="shared" si="73"/>
        <v>7385.4097566879991</v>
      </c>
      <c r="AK47" s="373">
        <f t="shared" si="74"/>
        <v>71488.048239999989</v>
      </c>
      <c r="AL47" s="376">
        <f t="shared" si="95"/>
        <v>2757.3961463999999</v>
      </c>
      <c r="AM47" s="373">
        <f t="shared" si="75"/>
        <v>7385.4097566879991</v>
      </c>
      <c r="AN47" s="373">
        <f t="shared" si="76"/>
        <v>81700.62655999999</v>
      </c>
      <c r="AO47" s="376">
        <f t="shared" si="98"/>
        <v>2757.3961463999999</v>
      </c>
      <c r="AP47" s="373">
        <f t="shared" si="77"/>
        <v>7385.4097566879991</v>
      </c>
      <c r="AQ47" s="373">
        <f t="shared" si="78"/>
        <v>91913.20487999999</v>
      </c>
      <c r="AR47" s="377">
        <f>(AQ47-88000)*0.35+(88000-AN47)*0.27</f>
        <v>3070.4525367999995</v>
      </c>
      <c r="AS47" s="373">
        <f t="shared" si="79"/>
        <v>7072.353366288</v>
      </c>
      <c r="AT47" s="373">
        <f t="shared" si="80"/>
        <v>102125.78319999999</v>
      </c>
      <c r="AU47" s="377">
        <f>H47*0.35</f>
        <v>3574.4024119999995</v>
      </c>
      <c r="AV47" s="373">
        <f t="shared" si="81"/>
        <v>6568.403491088</v>
      </c>
      <c r="AW47" s="373">
        <f t="shared" si="82"/>
        <v>112338.36151999999</v>
      </c>
      <c r="AX47" s="377">
        <f>H47*0.35</f>
        <v>3574.4024119999995</v>
      </c>
      <c r="AY47" s="373">
        <f t="shared" si="83"/>
        <v>6568.403491088</v>
      </c>
      <c r="AZ47" s="373">
        <f t="shared" si="84"/>
        <v>122550.93983999998</v>
      </c>
      <c r="BA47" s="377">
        <f>H47*0.35</f>
        <v>3574.4024119999995</v>
      </c>
      <c r="BB47" s="373">
        <f t="shared" si="58"/>
        <v>6568.403491088</v>
      </c>
      <c r="BC47" s="292"/>
      <c r="BE47" s="358"/>
    </row>
    <row r="48" spans="1:57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48"/>
        <v>13988.856</v>
      </c>
      <c r="G48" s="233">
        <v>359</v>
      </c>
      <c r="H48" s="353">
        <f t="shared" si="59"/>
        <v>8234.1543999999994</v>
      </c>
      <c r="I48" s="463">
        <v>0.4</v>
      </c>
      <c r="J48" s="362">
        <v>6000</v>
      </c>
      <c r="K48" s="361">
        <f t="shared" si="11"/>
        <v>6129.6522076266656</v>
      </c>
      <c r="L48" s="390">
        <v>5990.7884312490669</v>
      </c>
      <c r="M48" s="390">
        <f t="shared" si="49"/>
        <v>-138.8637763775987</v>
      </c>
      <c r="N48" s="390"/>
      <c r="O48" s="390">
        <f t="shared" si="60"/>
        <v>6520.906603858155</v>
      </c>
      <c r="P48" s="390">
        <v>5990.7884312490669</v>
      </c>
      <c r="Q48" s="390">
        <f t="shared" si="61"/>
        <v>138.8637763775987</v>
      </c>
      <c r="R48" s="372">
        <f t="shared" si="50"/>
        <v>56.714819039999995</v>
      </c>
      <c r="S48" s="373">
        <f t="shared" si="51"/>
        <v>8234.1543999999994</v>
      </c>
      <c r="T48" s="378">
        <f t="shared" si="96"/>
        <v>1235.1231599999999</v>
      </c>
      <c r="U48" s="373">
        <f t="shared" si="62"/>
        <v>6942.316420959999</v>
      </c>
      <c r="V48" s="373">
        <f t="shared" si="63"/>
        <v>16468.308799999999</v>
      </c>
      <c r="W48" s="374">
        <f t="shared" si="97"/>
        <v>1558.5386000000001</v>
      </c>
      <c r="X48" s="373">
        <f t="shared" si="64"/>
        <v>6618.9009809599993</v>
      </c>
      <c r="Y48" s="373">
        <f t="shared" si="65"/>
        <v>24702.463199999998</v>
      </c>
      <c r="Z48" s="374">
        <f>H48*0.2</f>
        <v>1646.83088</v>
      </c>
      <c r="AA48" s="373">
        <f t="shared" si="66"/>
        <v>6530.6087009599996</v>
      </c>
      <c r="AB48" s="373">
        <f t="shared" si="67"/>
        <v>32936.617599999998</v>
      </c>
      <c r="AC48" s="376">
        <f>(AB48-25000)*0.27+(25000-Y48)*0.2</f>
        <v>2202.394112</v>
      </c>
      <c r="AD48" s="373">
        <f t="shared" si="68"/>
        <v>5975.0454689599992</v>
      </c>
      <c r="AE48" s="373">
        <f t="shared" si="69"/>
        <v>41170.771999999997</v>
      </c>
      <c r="AF48" s="376">
        <f t="shared" si="55"/>
        <v>2223.2216880000001</v>
      </c>
      <c r="AG48" s="373">
        <f t="shared" si="70"/>
        <v>5954.2178929599995</v>
      </c>
      <c r="AH48" s="373">
        <f t="shared" si="71"/>
        <v>49404.926399999997</v>
      </c>
      <c r="AI48" s="376">
        <f t="shared" si="94"/>
        <v>2223.2216880000001</v>
      </c>
      <c r="AJ48" s="373">
        <f t="shared" si="73"/>
        <v>5954.2178929599995</v>
      </c>
      <c r="AK48" s="373">
        <f t="shared" si="74"/>
        <v>57639.080799999996</v>
      </c>
      <c r="AL48" s="376">
        <f t="shared" si="95"/>
        <v>2223.2216880000001</v>
      </c>
      <c r="AM48" s="373">
        <f t="shared" si="75"/>
        <v>5954.2178929599995</v>
      </c>
      <c r="AN48" s="373">
        <f t="shared" si="76"/>
        <v>65873.235199999996</v>
      </c>
      <c r="AO48" s="376">
        <f t="shared" si="98"/>
        <v>2223.2216880000001</v>
      </c>
      <c r="AP48" s="373">
        <f t="shared" si="77"/>
        <v>5954.2178929599995</v>
      </c>
      <c r="AQ48" s="373">
        <f t="shared" si="78"/>
        <v>74107.389599999995</v>
      </c>
      <c r="AR48" s="376">
        <f t="shared" ref="AR48:AR54" si="100">H48*0.27</f>
        <v>2223.2216880000001</v>
      </c>
      <c r="AS48" s="373">
        <f t="shared" si="79"/>
        <v>5954.2178929599995</v>
      </c>
      <c r="AT48" s="373">
        <f t="shared" si="80"/>
        <v>82341.543999999994</v>
      </c>
      <c r="AU48" s="376">
        <f>H48*0.27</f>
        <v>2223.2216880000001</v>
      </c>
      <c r="AV48" s="373">
        <f t="shared" si="81"/>
        <v>5954.2178929599995</v>
      </c>
      <c r="AW48" s="373">
        <f t="shared" si="82"/>
        <v>90575.698399999994</v>
      </c>
      <c r="AX48" s="377">
        <f>(AW48-88000)*0.35+(88000-AT48)*0.27</f>
        <v>2429.2775599999995</v>
      </c>
      <c r="AY48" s="373">
        <f t="shared" si="83"/>
        <v>5748.1620209599996</v>
      </c>
      <c r="AZ48" s="373">
        <f t="shared" si="84"/>
        <v>98809.852799999993</v>
      </c>
      <c r="BA48" s="377">
        <f>H48*0.35</f>
        <v>2881.9540399999996</v>
      </c>
      <c r="BB48" s="373">
        <f t="shared" si="58"/>
        <v>5295.4855409599995</v>
      </c>
      <c r="BC48" s="292"/>
      <c r="BE48" s="358"/>
    </row>
    <row r="49" spans="1:57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48"/>
        <v>10991.243999999999</v>
      </c>
      <c r="G49" s="233">
        <v>359</v>
      </c>
      <c r="H49" s="353">
        <f t="shared" si="59"/>
        <v>8354.0588800000005</v>
      </c>
      <c r="I49" s="363">
        <v>0.62</v>
      </c>
      <c r="J49" s="362">
        <v>6100</v>
      </c>
      <c r="K49" s="361">
        <f t="shared" si="11"/>
        <v>6206.7987500586669</v>
      </c>
      <c r="L49" s="390">
        <v>6063.3061811351463</v>
      </c>
      <c r="M49" s="390">
        <f t="shared" si="49"/>
        <v>-143.49256892352059</v>
      </c>
      <c r="N49" s="390"/>
      <c r="O49" s="390">
        <f t="shared" si="60"/>
        <v>6602.9773936794336</v>
      </c>
      <c r="P49" s="390">
        <v>6063.3061811351463</v>
      </c>
      <c r="Q49" s="390">
        <f t="shared" si="61"/>
        <v>143.49256892352059</v>
      </c>
      <c r="R49" s="372">
        <f t="shared" si="50"/>
        <v>57.506188608000002</v>
      </c>
      <c r="S49" s="373">
        <f t="shared" si="51"/>
        <v>8354.0588800000005</v>
      </c>
      <c r="T49" s="378">
        <f t="shared" si="96"/>
        <v>1253.1088320000001</v>
      </c>
      <c r="U49" s="373">
        <f t="shared" si="62"/>
        <v>7043.4438593920004</v>
      </c>
      <c r="V49" s="373">
        <f t="shared" si="63"/>
        <v>16708.117760000001</v>
      </c>
      <c r="W49" s="374">
        <f t="shared" si="97"/>
        <v>1588.5147200000001</v>
      </c>
      <c r="X49" s="373">
        <f t="shared" si="64"/>
        <v>6708.0379713920001</v>
      </c>
      <c r="Y49" s="373">
        <f t="shared" si="65"/>
        <v>25062.176640000001</v>
      </c>
      <c r="Z49" s="376">
        <f t="shared" ref="Z49" si="101">(Y49-25000)*0.27+(25000-V49)*0.2</f>
        <v>1675.1641408000005</v>
      </c>
      <c r="AA49" s="373">
        <f t="shared" si="66"/>
        <v>6621.3885505919998</v>
      </c>
      <c r="AB49" s="373">
        <f t="shared" si="67"/>
        <v>33416.235520000002</v>
      </c>
      <c r="AC49" s="376">
        <f>H49*0.27</f>
        <v>2255.5958976000002</v>
      </c>
      <c r="AD49" s="373">
        <f t="shared" si="68"/>
        <v>6040.9567937920001</v>
      </c>
      <c r="AE49" s="373">
        <f t="shared" si="69"/>
        <v>41770.294399999999</v>
      </c>
      <c r="AF49" s="376">
        <f t="shared" si="55"/>
        <v>2255.5958976000002</v>
      </c>
      <c r="AG49" s="373">
        <f t="shared" si="70"/>
        <v>6040.9567937920001</v>
      </c>
      <c r="AH49" s="373">
        <f t="shared" si="71"/>
        <v>50124.353280000003</v>
      </c>
      <c r="AI49" s="376">
        <f t="shared" si="94"/>
        <v>2255.5958976000002</v>
      </c>
      <c r="AJ49" s="373">
        <f t="shared" si="73"/>
        <v>6040.9567937920001</v>
      </c>
      <c r="AK49" s="373">
        <f t="shared" si="74"/>
        <v>58478.412160000007</v>
      </c>
      <c r="AL49" s="376">
        <f t="shared" si="95"/>
        <v>2255.5958976000002</v>
      </c>
      <c r="AM49" s="373">
        <f t="shared" si="75"/>
        <v>6040.9567937920001</v>
      </c>
      <c r="AN49" s="373">
        <f t="shared" si="76"/>
        <v>66832.471040000004</v>
      </c>
      <c r="AO49" s="376">
        <f t="shared" si="98"/>
        <v>2255.5958976000002</v>
      </c>
      <c r="AP49" s="373">
        <f t="shared" si="77"/>
        <v>6040.9567937920001</v>
      </c>
      <c r="AQ49" s="373">
        <f t="shared" si="78"/>
        <v>75186.529920000001</v>
      </c>
      <c r="AR49" s="376">
        <f t="shared" si="100"/>
        <v>2255.5958976000002</v>
      </c>
      <c r="AS49" s="373">
        <f t="shared" si="79"/>
        <v>6040.9567937920001</v>
      </c>
      <c r="AT49" s="373">
        <f t="shared" si="80"/>
        <v>83540.588799999998</v>
      </c>
      <c r="AU49" s="376">
        <f>H49*0.27</f>
        <v>2255.5958976000002</v>
      </c>
      <c r="AV49" s="373">
        <f t="shared" si="81"/>
        <v>6040.9567937920001</v>
      </c>
      <c r="AW49" s="373">
        <f t="shared" si="82"/>
        <v>91894.647680000009</v>
      </c>
      <c r="AX49" s="377">
        <f>(AW49-88000)*0.35+(88000-AT49)*0.27</f>
        <v>2567.167712000004</v>
      </c>
      <c r="AY49" s="373">
        <f t="shared" si="83"/>
        <v>5729.3849793919962</v>
      </c>
      <c r="AZ49" s="373">
        <f t="shared" si="84"/>
        <v>100248.70656000001</v>
      </c>
      <c r="BA49" s="377">
        <f>H49*0.35</f>
        <v>2923.9206079999999</v>
      </c>
      <c r="BB49" s="373">
        <f t="shared" si="58"/>
        <v>5372.6320833919999</v>
      </c>
      <c r="BC49" s="292"/>
      <c r="BE49" s="358"/>
    </row>
    <row r="50" spans="1:57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48"/>
        <v>10991.243999999999</v>
      </c>
      <c r="G50" s="233">
        <v>359</v>
      </c>
      <c r="H50" s="353">
        <f t="shared" si="59"/>
        <v>7274.9185600000001</v>
      </c>
      <c r="I50" s="363">
        <v>0.44</v>
      </c>
      <c r="J50" s="362">
        <v>5400</v>
      </c>
      <c r="K50" s="361">
        <f t="shared" si="11"/>
        <v>5507.8066863040003</v>
      </c>
      <c r="L50" s="390">
        <v>5393.3113372057587</v>
      </c>
      <c r="M50" s="390">
        <f t="shared" si="49"/>
        <v>-114.4953490982416</v>
      </c>
      <c r="N50" s="390"/>
      <c r="O50" s="390">
        <f t="shared" si="60"/>
        <v>5859.3688152170216</v>
      </c>
      <c r="P50" s="390">
        <v>5393.3113372057587</v>
      </c>
      <c r="Q50" s="390">
        <f t="shared" si="61"/>
        <v>114.4953490982416</v>
      </c>
      <c r="R50" s="372">
        <f t="shared" si="50"/>
        <v>50.383862495999999</v>
      </c>
      <c r="S50" s="373">
        <f t="shared" si="51"/>
        <v>7274.9185600000001</v>
      </c>
      <c r="T50" s="378">
        <f t="shared" si="96"/>
        <v>1091.2377839999999</v>
      </c>
      <c r="U50" s="373">
        <f t="shared" si="62"/>
        <v>6133.2969135040003</v>
      </c>
      <c r="V50" s="373">
        <f t="shared" si="63"/>
        <v>14549.83712</v>
      </c>
      <c r="W50" s="374">
        <f t="shared" si="97"/>
        <v>1318.72964</v>
      </c>
      <c r="X50" s="373">
        <f t="shared" si="64"/>
        <v>5905.8050575039997</v>
      </c>
      <c r="Y50" s="373">
        <f t="shared" si="65"/>
        <v>21824.755680000002</v>
      </c>
      <c r="Z50" s="374">
        <f>H50*0.2</f>
        <v>1454.9837120000002</v>
      </c>
      <c r="AA50" s="373">
        <f t="shared" si="66"/>
        <v>5769.550985504</v>
      </c>
      <c r="AB50" s="373">
        <f t="shared" si="67"/>
        <v>29099.67424</v>
      </c>
      <c r="AC50" s="376">
        <f>(AB50-25000)*0.27+(25000-Y50)*0.2</f>
        <v>1741.9609087999997</v>
      </c>
      <c r="AD50" s="373">
        <f t="shared" si="68"/>
        <v>5482.5737887040004</v>
      </c>
      <c r="AE50" s="373">
        <f t="shared" si="69"/>
        <v>36374.592799999999</v>
      </c>
      <c r="AF50" s="376">
        <f t="shared" si="55"/>
        <v>1964.2280112000001</v>
      </c>
      <c r="AG50" s="373">
        <f t="shared" si="70"/>
        <v>5260.3066863040003</v>
      </c>
      <c r="AH50" s="373">
        <f t="shared" si="71"/>
        <v>43649.511360000004</v>
      </c>
      <c r="AI50" s="376">
        <f t="shared" si="94"/>
        <v>1964.2280112000001</v>
      </c>
      <c r="AJ50" s="373">
        <f t="shared" si="73"/>
        <v>5260.3066863040003</v>
      </c>
      <c r="AK50" s="373">
        <f t="shared" si="74"/>
        <v>50924.429920000002</v>
      </c>
      <c r="AL50" s="376">
        <f t="shared" si="95"/>
        <v>1964.2280112000001</v>
      </c>
      <c r="AM50" s="373">
        <f t="shared" si="75"/>
        <v>5260.3066863040003</v>
      </c>
      <c r="AN50" s="373">
        <f t="shared" si="76"/>
        <v>58199.348480000001</v>
      </c>
      <c r="AO50" s="376">
        <f t="shared" si="98"/>
        <v>1964.2280112000001</v>
      </c>
      <c r="AP50" s="373">
        <f t="shared" si="77"/>
        <v>5260.3066863040003</v>
      </c>
      <c r="AQ50" s="373">
        <f t="shared" si="78"/>
        <v>65474.267039999999</v>
      </c>
      <c r="AR50" s="376">
        <f t="shared" si="100"/>
        <v>1964.2280112000001</v>
      </c>
      <c r="AS50" s="373">
        <f t="shared" si="79"/>
        <v>5260.3066863040003</v>
      </c>
      <c r="AT50" s="373">
        <f t="shared" si="80"/>
        <v>72749.185599999997</v>
      </c>
      <c r="AU50" s="376">
        <f>H50*0.27</f>
        <v>1964.2280112000001</v>
      </c>
      <c r="AV50" s="373">
        <f t="shared" si="81"/>
        <v>5260.3066863040003</v>
      </c>
      <c r="AW50" s="373">
        <f t="shared" si="82"/>
        <v>80024.104160000003</v>
      </c>
      <c r="AX50" s="376">
        <f>H50*0.27</f>
        <v>1964.2280112000001</v>
      </c>
      <c r="AY50" s="373">
        <f t="shared" si="83"/>
        <v>5260.3066863040003</v>
      </c>
      <c r="AZ50" s="373">
        <f t="shared" si="84"/>
        <v>87299.022720000008</v>
      </c>
      <c r="BA50" s="376">
        <f t="shared" ref="BA50:BA54" si="102">H50*0.27</f>
        <v>1964.2280112000001</v>
      </c>
      <c r="BB50" s="373">
        <f t="shared" si="58"/>
        <v>5260.3066863040003</v>
      </c>
      <c r="BC50" s="292"/>
      <c r="BE50" s="358"/>
    </row>
    <row r="51" spans="1:57" ht="28.5" x14ac:dyDescent="0.45">
      <c r="A51" s="718"/>
      <c r="B51" s="394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48"/>
        <v>10991.243999999999</v>
      </c>
      <c r="G51" s="233">
        <v>359</v>
      </c>
      <c r="H51" s="353">
        <f t="shared" si="59"/>
        <v>5236.5423999999994</v>
      </c>
      <c r="I51" s="393">
        <v>0.1</v>
      </c>
      <c r="J51" s="362">
        <v>3900</v>
      </c>
      <c r="K51" s="361">
        <f t="shared" si="11"/>
        <v>4033.2453721600009</v>
      </c>
      <c r="L51" s="390">
        <v>4007.2237019103995</v>
      </c>
      <c r="M51" s="390">
        <f t="shared" si="49"/>
        <v>-26.021670249601357</v>
      </c>
      <c r="N51" s="390"/>
      <c r="O51" s="390">
        <f t="shared" si="60"/>
        <v>4290.6865661276606</v>
      </c>
      <c r="P51" s="390">
        <v>4007.2237019103995</v>
      </c>
      <c r="Q51" s="390">
        <f t="shared" si="61"/>
        <v>26.021670249601357</v>
      </c>
      <c r="R51" s="372">
        <f t="shared" si="50"/>
        <v>36.930579839999993</v>
      </c>
      <c r="S51" s="373">
        <f t="shared" si="51"/>
        <v>5236.5423999999994</v>
      </c>
      <c r="T51" s="378">
        <f t="shared" si="96"/>
        <v>785.48135999999988</v>
      </c>
      <c r="U51" s="373">
        <f t="shared" si="62"/>
        <v>4414.1304601599995</v>
      </c>
      <c r="V51" s="373">
        <f t="shared" si="63"/>
        <v>10473.084799999999</v>
      </c>
      <c r="W51" s="374">
        <f t="shared" si="97"/>
        <v>809.13559999999984</v>
      </c>
      <c r="X51" s="373">
        <f t="shared" si="64"/>
        <v>4390.4762201599997</v>
      </c>
      <c r="Y51" s="373">
        <f t="shared" si="65"/>
        <v>15709.627199999999</v>
      </c>
      <c r="Z51" s="374">
        <f>H51*0.2</f>
        <v>1047.3084799999999</v>
      </c>
      <c r="AA51" s="373">
        <f t="shared" si="66"/>
        <v>4152.3033401599996</v>
      </c>
      <c r="AB51" s="373">
        <f t="shared" si="67"/>
        <v>20946.169599999997</v>
      </c>
      <c r="AC51" s="374">
        <f>H51*0.2</f>
        <v>1047.3084799999999</v>
      </c>
      <c r="AD51" s="373">
        <f t="shared" si="68"/>
        <v>4152.3033401599996</v>
      </c>
      <c r="AE51" s="373">
        <f t="shared" si="69"/>
        <v>26182.711999999996</v>
      </c>
      <c r="AF51" s="376">
        <f>(AE51-25000)*0.27+(25000-AB51)*0.2</f>
        <v>1130.0983199999996</v>
      </c>
      <c r="AG51" s="373">
        <f t="shared" si="70"/>
        <v>4069.5135001599997</v>
      </c>
      <c r="AH51" s="373">
        <f t="shared" si="71"/>
        <v>31419.254399999998</v>
      </c>
      <c r="AI51" s="376">
        <f t="shared" si="94"/>
        <v>1413.866448</v>
      </c>
      <c r="AJ51" s="373">
        <f t="shared" si="73"/>
        <v>3785.7453721599995</v>
      </c>
      <c r="AK51" s="373">
        <f t="shared" si="74"/>
        <v>36655.796799999996</v>
      </c>
      <c r="AL51" s="376">
        <f t="shared" si="95"/>
        <v>1413.866448</v>
      </c>
      <c r="AM51" s="373">
        <f t="shared" si="75"/>
        <v>3785.7453721599995</v>
      </c>
      <c r="AN51" s="373">
        <f t="shared" si="76"/>
        <v>41892.339199999995</v>
      </c>
      <c r="AO51" s="376">
        <f t="shared" si="98"/>
        <v>1413.866448</v>
      </c>
      <c r="AP51" s="373">
        <f t="shared" si="77"/>
        <v>3785.7453721599995</v>
      </c>
      <c r="AQ51" s="373">
        <f t="shared" si="78"/>
        <v>47128.881599999993</v>
      </c>
      <c r="AR51" s="376">
        <f t="shared" si="100"/>
        <v>1413.866448</v>
      </c>
      <c r="AS51" s="373">
        <f t="shared" si="79"/>
        <v>3785.7453721599995</v>
      </c>
      <c r="AT51" s="373">
        <f t="shared" si="80"/>
        <v>52365.423999999992</v>
      </c>
      <c r="AU51" s="376">
        <f>H51*0.27</f>
        <v>1413.866448</v>
      </c>
      <c r="AV51" s="373">
        <f t="shared" si="81"/>
        <v>3785.7453721599995</v>
      </c>
      <c r="AW51" s="373">
        <f t="shared" si="82"/>
        <v>57601.96639999999</v>
      </c>
      <c r="AX51" s="376">
        <f>H51*0.27</f>
        <v>1413.866448</v>
      </c>
      <c r="AY51" s="373">
        <f t="shared" si="83"/>
        <v>3785.7453721599995</v>
      </c>
      <c r="AZ51" s="373">
        <f t="shared" si="84"/>
        <v>62838.508799999996</v>
      </c>
      <c r="BA51" s="376">
        <f t="shared" si="102"/>
        <v>1413.866448</v>
      </c>
      <c r="BB51" s="373">
        <f t="shared" si="58"/>
        <v>3785.7453721599995</v>
      </c>
      <c r="BC51" s="292"/>
      <c r="BE51" s="358"/>
    </row>
    <row r="52" spans="1:57" ht="42" x14ac:dyDescent="0.45">
      <c r="A52" s="719"/>
      <c r="B52" s="392" t="s">
        <v>199</v>
      </c>
      <c r="C52" s="290">
        <v>125</v>
      </c>
      <c r="D52" s="238">
        <v>3331</v>
      </c>
      <c r="E52" s="238">
        <v>4163</v>
      </c>
      <c r="F52" s="238">
        <f t="shared" si="48"/>
        <v>7494</v>
      </c>
      <c r="G52" s="233">
        <v>359</v>
      </c>
      <c r="H52" s="353">
        <f t="shared" si="59"/>
        <v>5053.5</v>
      </c>
      <c r="I52" s="391">
        <v>0.5</v>
      </c>
      <c r="J52" s="362">
        <v>3800</v>
      </c>
      <c r="K52" s="361">
        <f t="shared" si="11"/>
        <v>3900.8324999999991</v>
      </c>
      <c r="L52" s="390">
        <v>3810.4870739999988</v>
      </c>
      <c r="M52" s="390">
        <f t="shared" si="49"/>
        <v>-90.345426000000316</v>
      </c>
      <c r="N52" s="390"/>
      <c r="O52" s="390">
        <f t="shared" si="60"/>
        <v>4149.8218085106373</v>
      </c>
      <c r="P52" s="390">
        <v>3810.4870739999988</v>
      </c>
      <c r="Q52" s="390">
        <f t="shared" si="61"/>
        <v>90.345426000000316</v>
      </c>
      <c r="R52" s="372">
        <f t="shared" si="50"/>
        <v>35.722499999999997</v>
      </c>
      <c r="S52" s="373">
        <f t="shared" si="51"/>
        <v>5053.5</v>
      </c>
      <c r="T52" s="378">
        <f t="shared" si="96"/>
        <v>758.02499999999998</v>
      </c>
      <c r="U52" s="373">
        <f t="shared" si="62"/>
        <v>4259.7525000000005</v>
      </c>
      <c r="V52" s="373">
        <f t="shared" si="63"/>
        <v>10107</v>
      </c>
      <c r="W52" s="374">
        <f t="shared" si="97"/>
        <v>763.375</v>
      </c>
      <c r="X52" s="373">
        <f t="shared" si="64"/>
        <v>4254.4025000000001</v>
      </c>
      <c r="Y52" s="373">
        <f t="shared" si="65"/>
        <v>15160.5</v>
      </c>
      <c r="Z52" s="374">
        <f>H52*0.2</f>
        <v>1010.7</v>
      </c>
      <c r="AA52" s="373">
        <f t="shared" si="66"/>
        <v>4007.0775000000003</v>
      </c>
      <c r="AB52" s="373">
        <f t="shared" si="67"/>
        <v>20214</v>
      </c>
      <c r="AC52" s="374">
        <f>H52*0.2</f>
        <v>1010.7</v>
      </c>
      <c r="AD52" s="373">
        <f t="shared" si="68"/>
        <v>4007.0775000000003</v>
      </c>
      <c r="AE52" s="373">
        <f t="shared" si="69"/>
        <v>25267.5</v>
      </c>
      <c r="AF52" s="376">
        <f>(AE52-25000)*0.27+(25000-AB52)*0.2</f>
        <v>1029.425</v>
      </c>
      <c r="AG52" s="373">
        <f t="shared" si="70"/>
        <v>3988.3525</v>
      </c>
      <c r="AH52" s="373">
        <f t="shared" si="71"/>
        <v>30321</v>
      </c>
      <c r="AI52" s="376">
        <f t="shared" si="94"/>
        <v>1364.4450000000002</v>
      </c>
      <c r="AJ52" s="373">
        <f t="shared" si="73"/>
        <v>3653.3325</v>
      </c>
      <c r="AK52" s="373">
        <f t="shared" si="74"/>
        <v>35374.5</v>
      </c>
      <c r="AL52" s="376">
        <f t="shared" si="95"/>
        <v>1364.4450000000002</v>
      </c>
      <c r="AM52" s="373">
        <f t="shared" si="75"/>
        <v>3653.3325</v>
      </c>
      <c r="AN52" s="373">
        <f t="shared" si="76"/>
        <v>40428</v>
      </c>
      <c r="AO52" s="376">
        <f t="shared" si="98"/>
        <v>1364.4450000000002</v>
      </c>
      <c r="AP52" s="373">
        <f t="shared" si="77"/>
        <v>3653.3325</v>
      </c>
      <c r="AQ52" s="373">
        <f t="shared" si="78"/>
        <v>45481.5</v>
      </c>
      <c r="AR52" s="376">
        <f t="shared" si="100"/>
        <v>1364.4450000000002</v>
      </c>
      <c r="AS52" s="373">
        <f t="shared" si="79"/>
        <v>3653.3325</v>
      </c>
      <c r="AT52" s="373">
        <f t="shared" si="80"/>
        <v>50535</v>
      </c>
      <c r="AU52" s="376">
        <f>H52*0.27</f>
        <v>1364.4450000000002</v>
      </c>
      <c r="AV52" s="373">
        <f t="shared" si="81"/>
        <v>3653.3325</v>
      </c>
      <c r="AW52" s="373">
        <f t="shared" si="82"/>
        <v>55588.5</v>
      </c>
      <c r="AX52" s="376">
        <f>H52*0.27</f>
        <v>1364.4450000000002</v>
      </c>
      <c r="AY52" s="373">
        <f t="shared" si="83"/>
        <v>3653.3325</v>
      </c>
      <c r="AZ52" s="373">
        <f t="shared" si="84"/>
        <v>60642</v>
      </c>
      <c r="BA52" s="376">
        <f t="shared" si="102"/>
        <v>1364.4450000000002</v>
      </c>
      <c r="BB52" s="373">
        <f t="shared" si="58"/>
        <v>3653.3325</v>
      </c>
      <c r="BC52" s="292"/>
      <c r="BE52" s="358"/>
    </row>
    <row r="53" spans="1:57" ht="33.75" customHeight="1" x14ac:dyDescent="0.45">
      <c r="A53" s="752" t="s">
        <v>173</v>
      </c>
      <c r="B53" s="753"/>
      <c r="C53" s="241">
        <v>125</v>
      </c>
      <c r="D53" s="234">
        <v>3330.68</v>
      </c>
      <c r="E53" s="234">
        <v>4163.3499999999995</v>
      </c>
      <c r="F53" s="234">
        <f t="shared" si="48"/>
        <v>7494.0299999999988</v>
      </c>
      <c r="G53" s="233">
        <v>278</v>
      </c>
      <c r="H53" s="353">
        <f t="shared" si="59"/>
        <v>3926.9834999999994</v>
      </c>
      <c r="I53" s="464">
        <v>0.21</v>
      </c>
      <c r="J53" s="362">
        <v>3023</v>
      </c>
      <c r="K53" s="361">
        <f t="shared" si="11"/>
        <v>3086.4450638999992</v>
      </c>
      <c r="L53" s="390">
        <v>3048.4967947859991</v>
      </c>
      <c r="M53" s="390">
        <f t="shared" si="49"/>
        <v>-37.948269114000141</v>
      </c>
      <c r="N53" s="390"/>
      <c r="O53" s="390">
        <f t="shared" si="60"/>
        <v>3283.4521956382973</v>
      </c>
      <c r="P53" s="390">
        <v>3048.4967947859991</v>
      </c>
      <c r="Q53" s="390">
        <f t="shared" si="61"/>
        <v>37.948269114000141</v>
      </c>
      <c r="R53" s="372">
        <f t="shared" si="50"/>
        <v>27.752891099999996</v>
      </c>
      <c r="S53" s="373">
        <f t="shared" si="51"/>
        <v>3926.9834999999994</v>
      </c>
      <c r="T53" s="378">
        <f t="shared" si="96"/>
        <v>589.04752499999984</v>
      </c>
      <c r="U53" s="373">
        <f t="shared" si="62"/>
        <v>3310.1830838999995</v>
      </c>
      <c r="V53" s="373">
        <f t="shared" si="63"/>
        <v>7853.9669999999987</v>
      </c>
      <c r="W53" s="378">
        <f>H53*0.15</f>
        <v>589.04752499999984</v>
      </c>
      <c r="X53" s="373">
        <f t="shared" si="64"/>
        <v>3310.1830838999995</v>
      </c>
      <c r="Y53" s="373">
        <f t="shared" si="65"/>
        <v>11780.950499999999</v>
      </c>
      <c r="Z53" s="374">
        <f>(Y53-10000)*0.2+(10000-V53)*0.15</f>
        <v>678.0950499999999</v>
      </c>
      <c r="AA53" s="373">
        <f t="shared" si="66"/>
        <v>3221.1355588999995</v>
      </c>
      <c r="AB53" s="373">
        <f t="shared" si="67"/>
        <v>15707.933999999997</v>
      </c>
      <c r="AC53" s="374">
        <f t="shared" ref="AC53:AC54" si="103">H53*0.2</f>
        <v>785.3966999999999</v>
      </c>
      <c r="AD53" s="373">
        <f t="shared" si="68"/>
        <v>3113.8339088999996</v>
      </c>
      <c r="AE53" s="373">
        <f t="shared" si="69"/>
        <v>19634.917499999996</v>
      </c>
      <c r="AF53" s="374">
        <f>H53*0.2</f>
        <v>785.3966999999999</v>
      </c>
      <c r="AG53" s="373">
        <f t="shared" si="70"/>
        <v>3113.8339088999996</v>
      </c>
      <c r="AH53" s="373">
        <f t="shared" si="71"/>
        <v>23561.900999999998</v>
      </c>
      <c r="AI53" s="374">
        <f>H53*0.2</f>
        <v>785.3966999999999</v>
      </c>
      <c r="AJ53" s="373">
        <f t="shared" si="73"/>
        <v>3113.8339088999996</v>
      </c>
      <c r="AK53" s="373">
        <f t="shared" si="74"/>
        <v>27488.884499999996</v>
      </c>
      <c r="AL53" s="376">
        <f>(AK53-25000)*0.27+(25000-AH53)*0.2</f>
        <v>959.61861499999952</v>
      </c>
      <c r="AM53" s="373">
        <f t="shared" si="75"/>
        <v>2939.6119939</v>
      </c>
      <c r="AN53" s="373">
        <f t="shared" si="76"/>
        <v>31415.867999999995</v>
      </c>
      <c r="AO53" s="376">
        <f t="shared" si="98"/>
        <v>1060.285545</v>
      </c>
      <c r="AP53" s="373">
        <f t="shared" si="77"/>
        <v>2838.9450638999997</v>
      </c>
      <c r="AQ53" s="373">
        <f t="shared" si="78"/>
        <v>35342.851499999997</v>
      </c>
      <c r="AR53" s="376">
        <f t="shared" si="100"/>
        <v>1060.285545</v>
      </c>
      <c r="AS53" s="373">
        <f t="shared" si="79"/>
        <v>2838.9450638999997</v>
      </c>
      <c r="AT53" s="373">
        <f t="shared" si="80"/>
        <v>39269.834999999992</v>
      </c>
      <c r="AU53" s="376">
        <f t="shared" ref="AU53:AU54" si="104">H53*0.27</f>
        <v>1060.285545</v>
      </c>
      <c r="AV53" s="373">
        <f t="shared" si="81"/>
        <v>2838.9450638999997</v>
      </c>
      <c r="AW53" s="373">
        <f t="shared" si="82"/>
        <v>43196.818499999994</v>
      </c>
      <c r="AX53" s="376">
        <f t="shared" ref="AX53:AX54" si="105">H53*0.27</f>
        <v>1060.285545</v>
      </c>
      <c r="AY53" s="373">
        <f t="shared" si="83"/>
        <v>2838.9450638999997</v>
      </c>
      <c r="AZ53" s="373">
        <f t="shared" si="84"/>
        <v>47123.801999999996</v>
      </c>
      <c r="BA53" s="376">
        <f t="shared" si="102"/>
        <v>1060.285545</v>
      </c>
      <c r="BB53" s="373">
        <f t="shared" si="58"/>
        <v>2838.9450638999997</v>
      </c>
      <c r="BC53" s="292"/>
      <c r="BE53" s="358"/>
    </row>
    <row r="54" spans="1:57" ht="29.25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48"/>
        <v>4996.01</v>
      </c>
      <c r="G54" s="233">
        <v>278</v>
      </c>
      <c r="H54" s="353">
        <f t="shared" si="59"/>
        <v>3793.75</v>
      </c>
      <c r="I54" s="363">
        <v>0.63</v>
      </c>
      <c r="J54" s="362">
        <v>2822</v>
      </c>
      <c r="K54" s="361">
        <f t="shared" si="11"/>
        <v>2990.0639500000002</v>
      </c>
      <c r="L54" s="390">
        <v>2921.7573390399998</v>
      </c>
      <c r="M54" s="390">
        <f t="shared" si="49"/>
        <v>-68.306610960000398</v>
      </c>
      <c r="N54" s="390"/>
      <c r="O54" s="390">
        <f t="shared" si="60"/>
        <v>3180.9190957446813</v>
      </c>
      <c r="P54" s="390">
        <v>2921.7573390399998</v>
      </c>
      <c r="Q54" s="390">
        <f t="shared" si="61"/>
        <v>68.306610960000398</v>
      </c>
      <c r="R54" s="372">
        <f t="shared" si="50"/>
        <v>26.873550000000002</v>
      </c>
      <c r="S54" s="373">
        <f t="shared" si="51"/>
        <v>3793.75</v>
      </c>
      <c r="T54" s="378">
        <f t="shared" si="96"/>
        <v>569.0625</v>
      </c>
      <c r="U54" s="373">
        <f t="shared" si="62"/>
        <v>3197.8139500000002</v>
      </c>
      <c r="V54" s="373">
        <f t="shared" si="63"/>
        <v>7587.5</v>
      </c>
      <c r="W54" s="378">
        <f>H54*0.15</f>
        <v>569.0625</v>
      </c>
      <c r="X54" s="373">
        <f t="shared" si="64"/>
        <v>3197.8139500000002</v>
      </c>
      <c r="Y54" s="373">
        <f t="shared" si="65"/>
        <v>11381.25</v>
      </c>
      <c r="Z54" s="374">
        <f>(Y54-10000)*0.2+(10000-V54)*0.15</f>
        <v>638.125</v>
      </c>
      <c r="AA54" s="373">
        <f t="shared" si="66"/>
        <v>3128.7514500000002</v>
      </c>
      <c r="AB54" s="373">
        <f t="shared" si="67"/>
        <v>15175</v>
      </c>
      <c r="AC54" s="374">
        <f t="shared" si="103"/>
        <v>758.75</v>
      </c>
      <c r="AD54" s="373">
        <f t="shared" si="68"/>
        <v>3008.1264500000002</v>
      </c>
      <c r="AE54" s="373">
        <f t="shared" si="69"/>
        <v>18968.75</v>
      </c>
      <c r="AF54" s="374">
        <f>H54*0.2</f>
        <v>758.75</v>
      </c>
      <c r="AG54" s="373">
        <f t="shared" si="70"/>
        <v>3008.1264500000002</v>
      </c>
      <c r="AH54" s="373">
        <f t="shared" si="71"/>
        <v>22762.5</v>
      </c>
      <c r="AI54" s="374">
        <f>H54*0.2</f>
        <v>758.75</v>
      </c>
      <c r="AJ54" s="373">
        <f t="shared" si="73"/>
        <v>3008.1264500000002</v>
      </c>
      <c r="AK54" s="373">
        <f t="shared" si="74"/>
        <v>26556.25</v>
      </c>
      <c r="AL54" s="376">
        <f>(AK54-25000)*0.27+(25000-AH54)*0.2</f>
        <v>867.6875</v>
      </c>
      <c r="AM54" s="373">
        <f t="shared" si="75"/>
        <v>2899.1889500000002</v>
      </c>
      <c r="AN54" s="373">
        <f t="shared" si="76"/>
        <v>30350</v>
      </c>
      <c r="AO54" s="376">
        <f t="shared" si="98"/>
        <v>1024.3125</v>
      </c>
      <c r="AP54" s="373">
        <f t="shared" si="77"/>
        <v>2742.5639500000002</v>
      </c>
      <c r="AQ54" s="373">
        <f t="shared" si="78"/>
        <v>34143.75</v>
      </c>
      <c r="AR54" s="376">
        <f t="shared" si="100"/>
        <v>1024.3125</v>
      </c>
      <c r="AS54" s="373">
        <f t="shared" si="79"/>
        <v>2742.5639500000002</v>
      </c>
      <c r="AT54" s="373">
        <f t="shared" si="80"/>
        <v>37937.5</v>
      </c>
      <c r="AU54" s="376">
        <f t="shared" si="104"/>
        <v>1024.3125</v>
      </c>
      <c r="AV54" s="373">
        <f t="shared" si="81"/>
        <v>2742.5639500000002</v>
      </c>
      <c r="AW54" s="373">
        <f t="shared" si="82"/>
        <v>41731.25</v>
      </c>
      <c r="AX54" s="376">
        <f t="shared" si="105"/>
        <v>1024.3125</v>
      </c>
      <c r="AY54" s="373">
        <f t="shared" si="83"/>
        <v>2742.5639500000002</v>
      </c>
      <c r="AZ54" s="373">
        <f t="shared" si="84"/>
        <v>45525</v>
      </c>
      <c r="BA54" s="376">
        <f t="shared" si="102"/>
        <v>1024.3125</v>
      </c>
      <c r="BB54" s="373">
        <f t="shared" si="58"/>
        <v>2742.5639500000002</v>
      </c>
      <c r="BC54" s="292"/>
      <c r="BE54" s="358"/>
    </row>
    <row r="55" spans="1:57" x14ac:dyDescent="0.35">
      <c r="AR55" s="379"/>
    </row>
  </sheetData>
  <mergeCells count="11">
    <mergeCell ref="A28:B28"/>
    <mergeCell ref="A1:F1"/>
    <mergeCell ref="A4:B4"/>
    <mergeCell ref="A6:A14"/>
    <mergeCell ref="A15:A23"/>
    <mergeCell ref="A24:A27"/>
    <mergeCell ref="A30:A38"/>
    <mergeCell ref="A39:A46"/>
    <mergeCell ref="A47:A52"/>
    <mergeCell ref="A53:B53"/>
    <mergeCell ref="A54:B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60" zoomScaleNormal="60" workbookViewId="0">
      <selection activeCell="N14" sqref="N14"/>
    </sheetView>
  </sheetViews>
  <sheetFormatPr defaultRowHeight="15.75" x14ac:dyDescent="0.25"/>
  <cols>
    <col min="1" max="1" width="21.5703125" style="202" customWidth="1"/>
    <col min="2" max="2" width="69.85546875" customWidth="1"/>
    <col min="3" max="12" width="31.28515625" customWidth="1"/>
    <col min="13" max="13" width="15.85546875" style="318" customWidth="1"/>
    <col min="14" max="14" width="17.5703125" bestFit="1" customWidth="1"/>
    <col min="15" max="15" width="12.7109375" bestFit="1" customWidth="1"/>
  </cols>
  <sheetData>
    <row r="1" spans="1:14" ht="28.5" customHeight="1" x14ac:dyDescent="0.25">
      <c r="A1" s="660" t="s">
        <v>196</v>
      </c>
      <c r="B1" s="660"/>
      <c r="C1" s="660"/>
      <c r="D1" s="660"/>
      <c r="E1" s="660"/>
      <c r="F1" s="660"/>
      <c r="G1" s="660"/>
      <c r="H1" s="660"/>
      <c r="I1" s="660"/>
      <c r="J1" s="660"/>
    </row>
    <row r="2" spans="1:14" ht="21" x14ac:dyDescent="0.25">
      <c r="A2" s="192"/>
      <c r="B2" s="2"/>
      <c r="C2" s="2"/>
      <c r="D2" s="2"/>
      <c r="E2" s="2"/>
      <c r="F2" s="2"/>
      <c r="G2" s="1"/>
      <c r="H2" s="1"/>
      <c r="I2" s="1"/>
      <c r="J2" s="70"/>
    </row>
    <row r="3" spans="1:14" ht="27" thickBot="1" x14ac:dyDescent="0.3">
      <c r="A3" s="236" t="s">
        <v>1</v>
      </c>
      <c r="B3" s="4"/>
      <c r="C3" s="4"/>
      <c r="D3" s="4"/>
      <c r="E3" s="4"/>
      <c r="F3" s="4"/>
      <c r="G3" s="1"/>
      <c r="H3" s="69"/>
      <c r="I3" s="1"/>
      <c r="J3" s="70"/>
    </row>
    <row r="4" spans="1:14" ht="65.25" customHeight="1" x14ac:dyDescent="0.25">
      <c r="A4" s="661" t="s">
        <v>2</v>
      </c>
      <c r="B4" s="662"/>
      <c r="C4" s="332" t="s">
        <v>3</v>
      </c>
      <c r="D4" s="332" t="s">
        <v>4</v>
      </c>
      <c r="E4" s="332" t="s">
        <v>5</v>
      </c>
      <c r="F4" s="332" t="s">
        <v>175</v>
      </c>
      <c r="G4" s="333" t="s">
        <v>157</v>
      </c>
      <c r="H4" s="333" t="s">
        <v>158</v>
      </c>
      <c r="I4" s="333" t="s">
        <v>178</v>
      </c>
      <c r="J4" s="333" t="s">
        <v>37</v>
      </c>
      <c r="K4" s="334" t="s">
        <v>208</v>
      </c>
      <c r="L4" s="335" t="s">
        <v>232</v>
      </c>
    </row>
    <row r="5" spans="1:14" s="233" customFormat="1" ht="33.75" customHeight="1" x14ac:dyDescent="0.45">
      <c r="A5" s="336"/>
      <c r="B5" s="230"/>
      <c r="C5" s="231"/>
      <c r="D5" s="231"/>
      <c r="E5" s="231"/>
      <c r="F5" s="231"/>
      <c r="G5" s="147">
        <v>1</v>
      </c>
      <c r="H5" s="147">
        <v>0.86</v>
      </c>
      <c r="I5" s="147">
        <v>0.93</v>
      </c>
      <c r="J5" s="337"/>
      <c r="K5" s="276"/>
      <c r="L5" s="338"/>
      <c r="M5" s="318"/>
    </row>
    <row r="6" spans="1:14" s="233" customFormat="1" ht="48.75" customHeight="1" x14ac:dyDescent="0.45">
      <c r="A6" s="663" t="s">
        <v>11</v>
      </c>
      <c r="B6" s="287" t="s">
        <v>212</v>
      </c>
      <c r="C6" s="283">
        <v>550</v>
      </c>
      <c r="D6" s="238">
        <v>4289.8986277717058</v>
      </c>
      <c r="E6" s="238">
        <v>11941.655382347013</v>
      </c>
      <c r="F6" s="238">
        <f>D6+E6</f>
        <v>16231.554010118718</v>
      </c>
      <c r="G6" s="238">
        <f t="shared" ref="G6:G21" si="0">D6+E6*J6*$G$5</f>
        <v>13655.599028017183</v>
      </c>
      <c r="H6" s="238">
        <f t="shared" ref="H6:H21" si="1">D6+E6*$H$5*J6</f>
        <v>12344.400971982817</v>
      </c>
      <c r="I6" s="238">
        <f>D6+E6*$I$5*J6</f>
        <v>13000</v>
      </c>
      <c r="J6" s="314">
        <f>((L6-D6)/(F6-D6))/0.93</f>
        <v>0.78428828335563161</v>
      </c>
      <c r="K6" s="284">
        <v>13174</v>
      </c>
      <c r="L6" s="326">
        <v>13000</v>
      </c>
      <c r="M6" s="320"/>
      <c r="N6" s="321"/>
    </row>
    <row r="7" spans="1:14" s="233" customFormat="1" ht="48.75" customHeight="1" x14ac:dyDescent="0.45">
      <c r="A7" s="664"/>
      <c r="B7" s="227" t="s">
        <v>211</v>
      </c>
      <c r="C7" s="231">
        <v>550</v>
      </c>
      <c r="D7" s="234">
        <v>4289.8986277717058</v>
      </c>
      <c r="E7" s="234">
        <v>11941.655382347013</v>
      </c>
      <c r="F7" s="234">
        <f>D7+E7</f>
        <v>16231.554010118718</v>
      </c>
      <c r="G7" s="234">
        <f t="shared" si="0"/>
        <v>8816.8893505978285</v>
      </c>
      <c r="H7" s="234">
        <f t="shared" si="1"/>
        <v>8183.1106494021715</v>
      </c>
      <c r="I7" s="234">
        <f t="shared" ref="I7:I21" si="2">D7+E7*$I$5*J7</f>
        <v>8500</v>
      </c>
      <c r="J7" s="315">
        <f t="shared" ref="J7:J21" si="3">((L7-D7)/(F7-D7))/0.93</f>
        <v>0.37909239363231295</v>
      </c>
      <c r="K7" s="331">
        <v>9000</v>
      </c>
      <c r="L7" s="326">
        <v>8500</v>
      </c>
      <c r="M7" s="318"/>
    </row>
    <row r="8" spans="1:14" s="233" customFormat="1" ht="48.75" customHeight="1" x14ac:dyDescent="0.45">
      <c r="A8" s="664"/>
      <c r="B8" s="287" t="s">
        <v>213</v>
      </c>
      <c r="C8" s="283">
        <v>550</v>
      </c>
      <c r="D8" s="238">
        <v>4289.8986277717058</v>
      </c>
      <c r="E8" s="238">
        <v>11941.655382347013</v>
      </c>
      <c r="F8" s="238">
        <f>D8+E8</f>
        <v>16231.554010118718</v>
      </c>
      <c r="G8" s="238">
        <f t="shared" si="0"/>
        <v>7274.9538667268607</v>
      </c>
      <c r="H8" s="238">
        <f t="shared" si="1"/>
        <v>6857.0461332731393</v>
      </c>
      <c r="I8" s="238">
        <f t="shared" si="2"/>
        <v>7066</v>
      </c>
      <c r="J8" s="314">
        <f t="shared" si="3"/>
        <v>0.24996997010714875</v>
      </c>
      <c r="K8" s="284">
        <v>7066</v>
      </c>
      <c r="L8" s="326">
        <v>7066</v>
      </c>
      <c r="M8" s="318"/>
    </row>
    <row r="9" spans="1:14" s="233" customFormat="1" ht="48.75" customHeight="1" x14ac:dyDescent="0.45">
      <c r="A9" s="664"/>
      <c r="B9" s="227" t="s">
        <v>13</v>
      </c>
      <c r="C9" s="231">
        <v>400</v>
      </c>
      <c r="D9" s="234">
        <v>4338.1942847146329</v>
      </c>
      <c r="E9" s="234">
        <v>8637.2648112671013</v>
      </c>
      <c r="F9" s="234">
        <f t="shared" ref="F9:F49" si="4">D9+E9</f>
        <v>12975.459095981734</v>
      </c>
      <c r="G9" s="234">
        <f t="shared" si="0"/>
        <v>9888.5230108279302</v>
      </c>
      <c r="H9" s="234">
        <f t="shared" si="1"/>
        <v>9111.476989172068</v>
      </c>
      <c r="I9" s="234">
        <f t="shared" si="2"/>
        <v>9500</v>
      </c>
      <c r="J9" s="315">
        <f t="shared" si="3"/>
        <v>0.64260258859645347</v>
      </c>
      <c r="K9" s="331">
        <v>10363</v>
      </c>
      <c r="L9" s="326">
        <v>9500</v>
      </c>
      <c r="M9" s="318"/>
    </row>
    <row r="10" spans="1:14" s="233" customFormat="1" ht="48.75" customHeight="1" x14ac:dyDescent="0.45">
      <c r="A10" s="664"/>
      <c r="B10" s="287" t="s">
        <v>217</v>
      </c>
      <c r="C10" s="283">
        <v>300</v>
      </c>
      <c r="D10" s="238">
        <v>4386.489941657559</v>
      </c>
      <c r="E10" s="238">
        <v>6415.3452401871882</v>
      </c>
      <c r="F10" s="238">
        <f t="shared" si="4"/>
        <v>10801.835181844748</v>
      </c>
      <c r="G10" s="238">
        <f t="shared" si="0"/>
        <v>8271.9846280472793</v>
      </c>
      <c r="H10" s="238">
        <f t="shared" si="1"/>
        <v>7728.0153719527189</v>
      </c>
      <c r="I10" s="238">
        <f t="shared" si="2"/>
        <v>7999.9999999999982</v>
      </c>
      <c r="J10" s="314">
        <f t="shared" si="3"/>
        <v>0.60565636624668207</v>
      </c>
      <c r="K10" s="284">
        <v>8861</v>
      </c>
      <c r="L10" s="326">
        <v>8000</v>
      </c>
      <c r="M10" s="318"/>
    </row>
    <row r="11" spans="1:14" s="233" customFormat="1" ht="48.75" customHeight="1" x14ac:dyDescent="0.45">
      <c r="A11" s="665"/>
      <c r="B11" s="227" t="s">
        <v>216</v>
      </c>
      <c r="C11" s="231">
        <v>300</v>
      </c>
      <c r="D11" s="234">
        <v>4386.489941657559</v>
      </c>
      <c r="E11" s="234">
        <v>6415.3452401871882</v>
      </c>
      <c r="F11" s="234">
        <f t="shared" si="4"/>
        <v>10801.835181844748</v>
      </c>
      <c r="G11" s="234">
        <f t="shared" si="0"/>
        <v>6551.554520520398</v>
      </c>
      <c r="H11" s="234">
        <f t="shared" si="1"/>
        <v>6248.4454794796002</v>
      </c>
      <c r="I11" s="234">
        <f t="shared" si="2"/>
        <v>6400</v>
      </c>
      <c r="J11" s="315">
        <f t="shared" si="3"/>
        <v>0.33748216156791999</v>
      </c>
      <c r="K11" s="331">
        <v>6475</v>
      </c>
      <c r="L11" s="326">
        <v>6400</v>
      </c>
      <c r="M11" s="318"/>
    </row>
    <row r="12" spans="1:14" s="233" customFormat="1" ht="48.75" customHeight="1" x14ac:dyDescent="0.45">
      <c r="A12" s="666" t="s">
        <v>15</v>
      </c>
      <c r="B12" s="287" t="s">
        <v>215</v>
      </c>
      <c r="C12" s="283">
        <v>600</v>
      </c>
      <c r="D12" s="238">
        <v>3156.3831833272616</v>
      </c>
      <c r="E12" s="238">
        <v>13075.170826791458</v>
      </c>
      <c r="F12" s="238">
        <f t="shared" si="4"/>
        <v>16231.55401011872</v>
      </c>
      <c r="G12" s="238">
        <f t="shared" si="0"/>
        <v>12880.702341039882</v>
      </c>
      <c r="H12" s="238">
        <f t="shared" si="1"/>
        <v>11519.297658960115</v>
      </c>
      <c r="I12" s="238">
        <f t="shared" si="2"/>
        <v>12199.999999999998</v>
      </c>
      <c r="J12" s="314">
        <f t="shared" si="3"/>
        <v>0.74372406192867235</v>
      </c>
      <c r="K12" s="284">
        <v>12276</v>
      </c>
      <c r="L12" s="326">
        <v>12200</v>
      </c>
      <c r="M12" s="318"/>
    </row>
    <row r="13" spans="1:14" s="233" customFormat="1" ht="48.75" customHeight="1" x14ac:dyDescent="0.45">
      <c r="A13" s="666"/>
      <c r="B13" s="227" t="s">
        <v>214</v>
      </c>
      <c r="C13" s="231">
        <v>600</v>
      </c>
      <c r="D13" s="234">
        <v>3156.3831833272616</v>
      </c>
      <c r="E13" s="234">
        <v>13075.170826791458</v>
      </c>
      <c r="F13" s="234">
        <f t="shared" ref="F13" si="5">D13+E13</f>
        <v>16231.55401011872</v>
      </c>
      <c r="G13" s="234">
        <f t="shared" si="0"/>
        <v>8364.5733087818189</v>
      </c>
      <c r="H13" s="234">
        <f t="shared" si="1"/>
        <v>7635.4266912181811</v>
      </c>
      <c r="I13" s="234">
        <f t="shared" si="2"/>
        <v>8000</v>
      </c>
      <c r="J13" s="315">
        <f t="shared" si="3"/>
        <v>0.39832673656414519</v>
      </c>
      <c r="K13" s="331">
        <v>8500</v>
      </c>
      <c r="L13" s="326">
        <v>8000</v>
      </c>
      <c r="M13" s="318"/>
    </row>
    <row r="14" spans="1:14" s="233" customFormat="1" ht="48.75" customHeight="1" x14ac:dyDescent="0.45">
      <c r="A14" s="666"/>
      <c r="B14" s="287" t="s">
        <v>213</v>
      </c>
      <c r="C14" s="283">
        <v>600</v>
      </c>
      <c r="D14" s="238">
        <v>3156.3831833272616</v>
      </c>
      <c r="E14" s="238">
        <v>13075.170826791458</v>
      </c>
      <c r="F14" s="238">
        <f t="shared" si="4"/>
        <v>16231.55401011872</v>
      </c>
      <c r="G14" s="238">
        <f t="shared" si="0"/>
        <v>7078.5518034054749</v>
      </c>
      <c r="H14" s="238">
        <f t="shared" si="1"/>
        <v>6529.4481965945251</v>
      </c>
      <c r="I14" s="238">
        <f t="shared" si="2"/>
        <v>6804</v>
      </c>
      <c r="J14" s="314">
        <f t="shared" si="3"/>
        <v>0.29997073629367499</v>
      </c>
      <c r="K14" s="284">
        <v>6804</v>
      </c>
      <c r="L14" s="326">
        <v>6804</v>
      </c>
      <c r="M14" s="318"/>
    </row>
    <row r="15" spans="1:14" s="233" customFormat="1" ht="48.75" customHeight="1" x14ac:dyDescent="0.45">
      <c r="A15" s="666"/>
      <c r="B15" s="227" t="s">
        <v>13</v>
      </c>
      <c r="C15" s="231">
        <v>450</v>
      </c>
      <c r="D15" s="234">
        <v>3191.9177291590768</v>
      </c>
      <c r="E15" s="234">
        <v>9783.5413668226574</v>
      </c>
      <c r="F15" s="234">
        <f t="shared" si="4"/>
        <v>12975.459095981734</v>
      </c>
      <c r="G15" s="234">
        <f t="shared" si="0"/>
        <v>9705.9846870525434</v>
      </c>
      <c r="H15" s="234">
        <f t="shared" si="1"/>
        <v>8794.0153129474566</v>
      </c>
      <c r="I15" s="234">
        <f t="shared" si="2"/>
        <v>9250</v>
      </c>
      <c r="J15" s="315">
        <f t="shared" si="3"/>
        <v>0.6658189211509411</v>
      </c>
      <c r="K15" s="331">
        <v>10016</v>
      </c>
      <c r="L15" s="326">
        <v>9250</v>
      </c>
      <c r="M15" s="318"/>
    </row>
    <row r="16" spans="1:14" s="233" customFormat="1" ht="48.75" customHeight="1" x14ac:dyDescent="0.45">
      <c r="A16" s="666"/>
      <c r="B16" s="287" t="s">
        <v>218</v>
      </c>
      <c r="C16" s="283">
        <v>300</v>
      </c>
      <c r="D16" s="238">
        <v>3251.1419722121027</v>
      </c>
      <c r="E16" s="238">
        <v>6462.434266874654</v>
      </c>
      <c r="F16" s="238">
        <f>D16+E16</f>
        <v>9713.5762390867567</v>
      </c>
      <c r="G16" s="238">
        <f t="shared" si="0"/>
        <v>7550.9893139195183</v>
      </c>
      <c r="H16" s="238">
        <f t="shared" si="1"/>
        <v>6949.0106860804808</v>
      </c>
      <c r="I16" s="238">
        <f t="shared" si="2"/>
        <v>7250</v>
      </c>
      <c r="J16" s="314">
        <f t="shared" si="3"/>
        <v>0.66536032153513835</v>
      </c>
      <c r="K16" s="284">
        <v>7759</v>
      </c>
      <c r="L16" s="326">
        <v>7250</v>
      </c>
      <c r="M16" s="318"/>
    </row>
    <row r="17" spans="1:13" s="233" customFormat="1" ht="48.75" customHeight="1" x14ac:dyDescent="0.45">
      <c r="A17" s="666"/>
      <c r="B17" s="227" t="s">
        <v>216</v>
      </c>
      <c r="C17" s="231">
        <v>300</v>
      </c>
      <c r="D17" s="234">
        <v>3251.1419722121027</v>
      </c>
      <c r="E17" s="234">
        <v>6462.434266874654</v>
      </c>
      <c r="F17" s="234">
        <f>D17+E17</f>
        <v>9713.5762390867567</v>
      </c>
      <c r="G17" s="234">
        <f t="shared" si="0"/>
        <v>5669.2688838119921</v>
      </c>
      <c r="H17" s="234">
        <f t="shared" si="1"/>
        <v>5330.7311161880079</v>
      </c>
      <c r="I17" s="234">
        <f t="shared" si="2"/>
        <v>5500</v>
      </c>
      <c r="J17" s="315">
        <f t="shared" si="3"/>
        <v>0.37418205149022549</v>
      </c>
      <c r="K17" s="331">
        <v>5655</v>
      </c>
      <c r="L17" s="326">
        <v>5500</v>
      </c>
      <c r="M17" s="318"/>
    </row>
    <row r="18" spans="1:13" s="233" customFormat="1" ht="48.75" customHeight="1" x14ac:dyDescent="0.45">
      <c r="A18" s="672" t="s">
        <v>172</v>
      </c>
      <c r="B18" s="287" t="s">
        <v>219</v>
      </c>
      <c r="C18" s="283">
        <v>125</v>
      </c>
      <c r="D18" s="238">
        <v>2262.1368823619159</v>
      </c>
      <c r="E18" s="238">
        <v>2700.4971714475387</v>
      </c>
      <c r="F18" s="238">
        <f t="shared" ref="F18:F20" si="6">D18+E18</f>
        <v>4962.6340538094546</v>
      </c>
      <c r="G18" s="238">
        <f t="shared" si="0"/>
        <v>5206.075718531898</v>
      </c>
      <c r="H18" s="238">
        <f t="shared" si="1"/>
        <v>4793.9242814681011</v>
      </c>
      <c r="I18" s="238">
        <f t="shared" si="2"/>
        <v>5000</v>
      </c>
      <c r="J18" s="314">
        <f t="shared" si="3"/>
        <v>1.0901469800806911</v>
      </c>
      <c r="K18" s="284">
        <v>5000</v>
      </c>
      <c r="L18" s="326">
        <v>5000</v>
      </c>
      <c r="M18" s="318"/>
    </row>
    <row r="19" spans="1:13" s="233" customFormat="1" ht="48.75" customHeight="1" x14ac:dyDescent="0.45">
      <c r="A19" s="673"/>
      <c r="B19" s="227" t="s">
        <v>197</v>
      </c>
      <c r="C19" s="231">
        <v>125</v>
      </c>
      <c r="D19" s="234">
        <v>2262.1368823619159</v>
      </c>
      <c r="E19" s="234">
        <v>2700.4971714475387</v>
      </c>
      <c r="F19" s="234">
        <f t="shared" si="6"/>
        <v>4962.6340538094546</v>
      </c>
      <c r="G19" s="234">
        <f t="shared" si="0"/>
        <v>4130.8069013275981</v>
      </c>
      <c r="H19" s="234">
        <f t="shared" si="1"/>
        <v>3869.1930986724019</v>
      </c>
      <c r="I19" s="234">
        <f t="shared" si="2"/>
        <v>4000</v>
      </c>
      <c r="J19" s="315">
        <f t="shared" si="3"/>
        <v>0.6919725888711169</v>
      </c>
      <c r="K19" s="331">
        <v>4397</v>
      </c>
      <c r="L19" s="326">
        <v>4000</v>
      </c>
      <c r="M19" s="318"/>
    </row>
    <row r="20" spans="1:13" s="233" customFormat="1" ht="48.75" customHeight="1" x14ac:dyDescent="0.45">
      <c r="A20" s="674"/>
      <c r="B20" s="287" t="s">
        <v>198</v>
      </c>
      <c r="C20" s="283">
        <v>125</v>
      </c>
      <c r="D20" s="238">
        <v>2262.1368823619159</v>
      </c>
      <c r="E20" s="238">
        <v>2700.4971714475387</v>
      </c>
      <c r="F20" s="238">
        <f t="shared" si="6"/>
        <v>4962.6340538094546</v>
      </c>
      <c r="G20" s="238">
        <f t="shared" si="0"/>
        <v>3593.1724927254472</v>
      </c>
      <c r="H20" s="238">
        <f t="shared" si="1"/>
        <v>3406.8275072745528</v>
      </c>
      <c r="I20" s="238">
        <f t="shared" si="2"/>
        <v>3500</v>
      </c>
      <c r="J20" s="314">
        <f t="shared" si="3"/>
        <v>0.49288539326632974</v>
      </c>
      <c r="K20" s="284">
        <v>3500</v>
      </c>
      <c r="L20" s="326">
        <v>3500</v>
      </c>
      <c r="M20" s="318"/>
    </row>
    <row r="21" spans="1:13" s="233" customFormat="1" ht="48.75" customHeight="1" thickBot="1" x14ac:dyDescent="0.5">
      <c r="A21" s="667" t="s">
        <v>171</v>
      </c>
      <c r="B21" s="668"/>
      <c r="C21" s="339">
        <v>50</v>
      </c>
      <c r="D21" s="340">
        <v>1102.6869233085536</v>
      </c>
      <c r="E21" s="340">
        <v>1145.4037853333332</v>
      </c>
      <c r="F21" s="340">
        <f>D21+E21</f>
        <v>2248.0907086418865</v>
      </c>
      <c r="G21" s="340">
        <f t="shared" si="0"/>
        <v>1847.1095864176359</v>
      </c>
      <c r="H21" s="340">
        <f t="shared" si="1"/>
        <v>1742.8904135823643</v>
      </c>
      <c r="I21" s="340">
        <f t="shared" si="2"/>
        <v>1795.0000000000002</v>
      </c>
      <c r="J21" s="341">
        <f t="shared" si="3"/>
        <v>0.64992160200731475</v>
      </c>
      <c r="K21" s="342">
        <v>1795</v>
      </c>
      <c r="L21" s="327">
        <v>1795</v>
      </c>
      <c r="M21" s="318"/>
    </row>
    <row r="22" spans="1:13" ht="10.5" customHeight="1" x14ac:dyDescent="0.25">
      <c r="A22" s="195"/>
      <c r="B22" s="15"/>
      <c r="C22" s="16"/>
      <c r="D22" s="17"/>
      <c r="E22" s="17"/>
      <c r="F22" s="17"/>
      <c r="G22" s="18"/>
      <c r="H22" s="17"/>
      <c r="I22" s="17"/>
      <c r="J22" s="72"/>
    </row>
    <row r="23" spans="1:13" s="226" customFormat="1" ht="27" customHeight="1" x14ac:dyDescent="0.35">
      <c r="A23" s="261"/>
      <c r="B23" s="262"/>
      <c r="C23" s="262"/>
      <c r="D23" s="263"/>
      <c r="E23" s="263"/>
      <c r="F23" s="262"/>
      <c r="G23" s="264"/>
      <c r="H23" s="264"/>
      <c r="I23" s="265"/>
      <c r="J23" s="225"/>
      <c r="M23" s="318"/>
    </row>
    <row r="24" spans="1:13" s="226" customFormat="1" ht="27" customHeight="1" x14ac:dyDescent="0.35">
      <c r="A24" s="266"/>
      <c r="B24" s="246"/>
      <c r="C24" s="246"/>
      <c r="D24" s="247"/>
      <c r="E24" s="247"/>
      <c r="F24" s="246"/>
      <c r="G24" s="248"/>
      <c r="H24" s="248"/>
      <c r="I24" s="267"/>
      <c r="J24" s="225"/>
      <c r="M24" s="318"/>
    </row>
    <row r="25" spans="1:13" s="226" customFormat="1" ht="27" customHeight="1" x14ac:dyDescent="0.35">
      <c r="A25" s="198"/>
      <c r="B25" s="246"/>
      <c r="C25" s="246"/>
      <c r="D25" s="247"/>
      <c r="E25" s="247"/>
      <c r="F25" s="246"/>
      <c r="G25" s="248"/>
      <c r="H25" s="248"/>
      <c r="I25" s="267"/>
      <c r="J25" s="225"/>
      <c r="M25" s="318"/>
    </row>
    <row r="26" spans="1:13" s="226" customFormat="1" ht="27" customHeight="1" x14ac:dyDescent="0.35">
      <c r="A26" s="198"/>
      <c r="B26" s="246"/>
      <c r="C26" s="246"/>
      <c r="D26" s="247"/>
      <c r="E26" s="247"/>
      <c r="F26" s="246"/>
      <c r="G26" s="248"/>
      <c r="H26" s="248"/>
      <c r="I26" s="267"/>
      <c r="J26" s="225"/>
      <c r="M26" s="318"/>
    </row>
    <row r="27" spans="1:13" s="226" customFormat="1" ht="27" customHeight="1" x14ac:dyDescent="0.35">
      <c r="A27" s="268"/>
      <c r="B27" s="246"/>
      <c r="C27" s="246"/>
      <c r="D27" s="247"/>
      <c r="E27" s="247"/>
      <c r="F27" s="246"/>
      <c r="G27" s="248"/>
      <c r="H27" s="248"/>
      <c r="I27" s="267"/>
      <c r="J27" s="225"/>
      <c r="M27" s="318"/>
    </row>
    <row r="28" spans="1:13" s="226" customFormat="1" ht="27" customHeight="1" x14ac:dyDescent="0.35">
      <c r="A28" s="268"/>
      <c r="B28" s="246"/>
      <c r="C28" s="246"/>
      <c r="D28" s="247"/>
      <c r="E28" s="247"/>
      <c r="F28" s="246"/>
      <c r="G28" s="248"/>
      <c r="H28" s="248"/>
      <c r="I28" s="267"/>
      <c r="J28" s="225"/>
      <c r="M28" s="318"/>
    </row>
    <row r="29" spans="1:13" s="226" customFormat="1" ht="27" customHeight="1" x14ac:dyDescent="0.35">
      <c r="A29" s="269"/>
      <c r="B29" s="246"/>
      <c r="C29" s="246"/>
      <c r="D29" s="247"/>
      <c r="E29" s="247"/>
      <c r="F29" s="246"/>
      <c r="G29" s="248"/>
      <c r="H29" s="248"/>
      <c r="I29" s="267"/>
      <c r="J29" s="225"/>
      <c r="M29" s="318"/>
    </row>
    <row r="30" spans="1:13" s="226" customFormat="1" ht="27" customHeight="1" x14ac:dyDescent="0.35">
      <c r="A30" s="268"/>
      <c r="B30" s="246"/>
      <c r="C30" s="246"/>
      <c r="D30" s="247"/>
      <c r="E30" s="247"/>
      <c r="F30" s="246"/>
      <c r="G30" s="248"/>
      <c r="H30" s="248"/>
      <c r="I30" s="267"/>
      <c r="J30" s="225"/>
      <c r="M30" s="318"/>
    </row>
    <row r="31" spans="1:13" s="226" customFormat="1" ht="27" customHeight="1" x14ac:dyDescent="0.35">
      <c r="A31" s="270"/>
      <c r="B31" s="271"/>
      <c r="C31" s="271"/>
      <c r="D31" s="272"/>
      <c r="E31" s="272"/>
      <c r="F31" s="271"/>
      <c r="G31" s="273"/>
      <c r="H31" s="273"/>
      <c r="I31" s="274"/>
      <c r="J31" s="225"/>
      <c r="M31" s="318"/>
    </row>
    <row r="32" spans="1:13" x14ac:dyDescent="0.25">
      <c r="A32" s="195"/>
      <c r="B32" s="15"/>
      <c r="C32" s="16"/>
      <c r="D32" s="17"/>
      <c r="E32" s="17"/>
      <c r="F32" s="17"/>
      <c r="G32" s="6"/>
      <c r="H32" s="6"/>
      <c r="I32" s="6"/>
      <c r="J32" s="72"/>
    </row>
    <row r="33" spans="1:13" hidden="1" x14ac:dyDescent="0.25">
      <c r="A33" s="195"/>
      <c r="B33" s="15"/>
      <c r="C33" s="16"/>
      <c r="D33" s="17"/>
      <c r="E33" s="17"/>
      <c r="F33" s="17"/>
      <c r="G33" s="6"/>
      <c r="H33" s="6"/>
      <c r="I33" s="6"/>
      <c r="J33" s="72"/>
    </row>
    <row r="34" spans="1:13" hidden="1" x14ac:dyDescent="0.25">
      <c r="A34" s="195"/>
      <c r="B34" s="15"/>
      <c r="C34" s="16"/>
      <c r="D34" s="17"/>
      <c r="E34" s="17"/>
      <c r="F34" s="17"/>
      <c r="G34" s="6"/>
      <c r="H34" s="6"/>
      <c r="I34" s="6"/>
      <c r="J34" s="72"/>
    </row>
    <row r="35" spans="1:13" hidden="1" x14ac:dyDescent="0.25">
      <c r="A35" s="195"/>
      <c r="B35" s="15"/>
      <c r="C35" s="16"/>
      <c r="D35" s="17"/>
      <c r="E35" s="17"/>
      <c r="F35" s="17"/>
      <c r="G35" s="1"/>
      <c r="H35" s="17"/>
      <c r="I35" s="17"/>
      <c r="J35" s="72"/>
    </row>
    <row r="36" spans="1:13" ht="30.75" hidden="1" customHeight="1" x14ac:dyDescent="0.25">
      <c r="A36" s="193" t="s">
        <v>180</v>
      </c>
      <c r="B36" s="40"/>
      <c r="C36" s="41"/>
      <c r="D36" s="17"/>
      <c r="E36" s="17"/>
      <c r="F36" s="17"/>
      <c r="G36" s="669" t="s">
        <v>182</v>
      </c>
      <c r="H36" s="669" t="s">
        <v>181</v>
      </c>
      <c r="I36" s="669" t="s">
        <v>177</v>
      </c>
      <c r="J36" s="670" t="s">
        <v>37</v>
      </c>
    </row>
    <row r="37" spans="1:13" ht="61.5" hidden="1" customHeight="1" x14ac:dyDescent="0.25">
      <c r="A37" s="659" t="s">
        <v>2</v>
      </c>
      <c r="B37" s="659"/>
      <c r="C37" s="216" t="s">
        <v>3</v>
      </c>
      <c r="D37" s="216" t="s">
        <v>4</v>
      </c>
      <c r="E37" s="216" t="s">
        <v>5</v>
      </c>
      <c r="F37" s="216" t="s">
        <v>176</v>
      </c>
      <c r="G37" s="669"/>
      <c r="H37" s="669"/>
      <c r="I37" s="669"/>
      <c r="J37" s="671"/>
    </row>
    <row r="38" spans="1:13" ht="24" hidden="1" customHeight="1" x14ac:dyDescent="0.25">
      <c r="A38" s="214"/>
      <c r="B38" s="215"/>
      <c r="C38" s="5"/>
      <c r="D38" s="5"/>
      <c r="E38" s="5"/>
      <c r="F38" s="5"/>
      <c r="G38" s="73">
        <v>0.98</v>
      </c>
      <c r="H38" s="73">
        <v>0.86</v>
      </c>
      <c r="I38" s="73">
        <v>0.94</v>
      </c>
      <c r="J38" s="71"/>
    </row>
    <row r="39" spans="1:13" s="121" customFormat="1" ht="27.75" hidden="1" customHeight="1" x14ac:dyDescent="0.3">
      <c r="A39" s="675" t="s">
        <v>28</v>
      </c>
      <c r="B39" s="213" t="s">
        <v>12</v>
      </c>
      <c r="C39" s="143">
        <v>600</v>
      </c>
      <c r="D39" s="144">
        <v>3156.3831833272616</v>
      </c>
      <c r="E39" s="144">
        <v>13075.170826791458</v>
      </c>
      <c r="F39" s="144">
        <f t="shared" si="4"/>
        <v>16231.55401011872</v>
      </c>
      <c r="G39" s="160">
        <f t="shared" ref="G39:G49" si="7">D39+E39*$G$38*J39</f>
        <v>13407.317111531765</v>
      </c>
      <c r="H39" s="160">
        <f t="shared" ref="H39:H49" si="8">D39+E39*$H$38*J39</f>
        <v>12152.100712159785</v>
      </c>
      <c r="I39" s="160">
        <f t="shared" ref="I39:I49" si="9">D39+E39*$I$38*J39</f>
        <v>12988.911645074439</v>
      </c>
      <c r="J39" s="224">
        <v>0.8</v>
      </c>
      <c r="M39" s="318"/>
    </row>
    <row r="40" spans="1:13" s="121" customFormat="1" ht="27.75" hidden="1" customHeight="1" x14ac:dyDescent="0.3">
      <c r="A40" s="675"/>
      <c r="B40" s="213" t="s">
        <v>13</v>
      </c>
      <c r="C40" s="143">
        <v>450</v>
      </c>
      <c r="D40" s="144">
        <v>3191.9177291590768</v>
      </c>
      <c r="E40" s="144">
        <v>9783.5413668226574</v>
      </c>
      <c r="F40" s="144">
        <f t="shared" si="4"/>
        <v>12975.459095981734</v>
      </c>
      <c r="G40" s="160">
        <f t="shared" si="7"/>
        <v>10382.82063377373</v>
      </c>
      <c r="H40" s="160">
        <f t="shared" si="8"/>
        <v>9502.3019107596901</v>
      </c>
      <c r="I40" s="160">
        <f t="shared" si="9"/>
        <v>10089.314392769049</v>
      </c>
      <c r="J40" s="147">
        <v>0.75</v>
      </c>
      <c r="M40" s="318"/>
    </row>
    <row r="41" spans="1:13" s="121" customFormat="1" ht="27.75" hidden="1" customHeight="1" x14ac:dyDescent="0.3">
      <c r="A41" s="675"/>
      <c r="B41" s="213" t="s">
        <v>161</v>
      </c>
      <c r="C41" s="143">
        <v>300</v>
      </c>
      <c r="D41" s="144">
        <v>3251.1419722121027</v>
      </c>
      <c r="E41" s="144">
        <v>6462.434266874654</v>
      </c>
      <c r="F41" s="144">
        <f t="shared" si="4"/>
        <v>9713.5762390867567</v>
      </c>
      <c r="G41" s="160">
        <f t="shared" si="7"/>
        <v>8001.0311583649736</v>
      </c>
      <c r="H41" s="160">
        <f t="shared" si="8"/>
        <v>7419.4120743462545</v>
      </c>
      <c r="I41" s="160">
        <f t="shared" si="9"/>
        <v>7807.1581303587336</v>
      </c>
      <c r="J41" s="147">
        <v>0.75</v>
      </c>
      <c r="M41" s="318"/>
    </row>
    <row r="42" spans="1:13" s="121" customFormat="1" ht="27.75" hidden="1" customHeight="1" x14ac:dyDescent="0.3">
      <c r="A42" s="675"/>
      <c r="B42" s="213" t="s">
        <v>163</v>
      </c>
      <c r="C42" s="143">
        <v>300</v>
      </c>
      <c r="D42" s="144">
        <v>3251.1419722121027</v>
      </c>
      <c r="E42" s="144">
        <v>6462.434266874654</v>
      </c>
      <c r="F42" s="144">
        <f t="shared" si="4"/>
        <v>9713.5762390867567</v>
      </c>
      <c r="G42" s="160">
        <f t="shared" si="7"/>
        <v>5467.7569257501091</v>
      </c>
      <c r="H42" s="160">
        <f t="shared" si="8"/>
        <v>5196.3346865413732</v>
      </c>
      <c r="I42" s="160">
        <f t="shared" si="9"/>
        <v>5377.2828460138644</v>
      </c>
      <c r="J42" s="224">
        <v>0.35</v>
      </c>
      <c r="M42" s="318"/>
    </row>
    <row r="43" spans="1:13" s="121" customFormat="1" ht="27.75" hidden="1" customHeight="1" x14ac:dyDescent="0.3">
      <c r="A43" s="675" t="s">
        <v>29</v>
      </c>
      <c r="B43" s="213" t="s">
        <v>12</v>
      </c>
      <c r="C43" s="143">
        <v>600</v>
      </c>
      <c r="D43" s="144">
        <v>3156.3831833272616</v>
      </c>
      <c r="E43" s="144">
        <v>13075.170826791458</v>
      </c>
      <c r="F43" s="144">
        <f t="shared" si="4"/>
        <v>16231.55401011872</v>
      </c>
      <c r="G43" s="160">
        <f t="shared" si="7"/>
        <v>13407.317111531765</v>
      </c>
      <c r="H43" s="160">
        <f t="shared" si="8"/>
        <v>12152.100712159785</v>
      </c>
      <c r="I43" s="160">
        <f t="shared" si="9"/>
        <v>12988.911645074439</v>
      </c>
      <c r="J43" s="224">
        <v>0.8</v>
      </c>
      <c r="M43" s="318"/>
    </row>
    <row r="44" spans="1:13" s="121" customFormat="1" ht="27.75" hidden="1" customHeight="1" x14ac:dyDescent="0.3">
      <c r="A44" s="675"/>
      <c r="B44" s="213" t="s">
        <v>13</v>
      </c>
      <c r="C44" s="143">
        <v>450</v>
      </c>
      <c r="D44" s="144">
        <v>3191.9177291590768</v>
      </c>
      <c r="E44" s="144">
        <v>9783.5413668226574</v>
      </c>
      <c r="F44" s="144">
        <f t="shared" si="4"/>
        <v>12975.459095981734</v>
      </c>
      <c r="G44" s="160">
        <f t="shared" si="7"/>
        <v>10382.82063377373</v>
      </c>
      <c r="H44" s="160">
        <f t="shared" si="8"/>
        <v>9502.3019107596901</v>
      </c>
      <c r="I44" s="160">
        <f t="shared" si="9"/>
        <v>10089.314392769049</v>
      </c>
      <c r="J44" s="147">
        <v>0.75</v>
      </c>
      <c r="M44" s="318"/>
    </row>
    <row r="45" spans="1:13" s="121" customFormat="1" ht="27.75" hidden="1" customHeight="1" x14ac:dyDescent="0.3">
      <c r="A45" s="675"/>
      <c r="B45" s="213" t="s">
        <v>30</v>
      </c>
      <c r="C45" s="143">
        <v>200</v>
      </c>
      <c r="D45" s="144">
        <v>3318.8268214155605</v>
      </c>
      <c r="E45" s="144">
        <v>4213.2704383626515</v>
      </c>
      <c r="F45" s="144">
        <f t="shared" si="4"/>
        <v>7532.097259778212</v>
      </c>
      <c r="G45" s="160">
        <f t="shared" si="7"/>
        <v>6415.5805936121096</v>
      </c>
      <c r="H45" s="160">
        <f t="shared" si="8"/>
        <v>6036.3862541594708</v>
      </c>
      <c r="I45" s="160">
        <f t="shared" si="9"/>
        <v>6289.1824804612297</v>
      </c>
      <c r="J45" s="147">
        <v>0.75</v>
      </c>
      <c r="M45" s="318"/>
    </row>
    <row r="46" spans="1:13" s="121" customFormat="1" ht="27.75" hidden="1" customHeight="1" x14ac:dyDescent="0.3">
      <c r="A46" s="676" t="s">
        <v>31</v>
      </c>
      <c r="B46" s="223" t="s">
        <v>32</v>
      </c>
      <c r="C46" s="151">
        <v>270</v>
      </c>
      <c r="D46" s="144">
        <v>3268.0631845129669</v>
      </c>
      <c r="E46" s="144">
        <v>5791.8962097466519</v>
      </c>
      <c r="F46" s="144">
        <f t="shared" si="4"/>
        <v>9059.9593942596184</v>
      </c>
      <c r="G46" s="160">
        <f t="shared" si="7"/>
        <v>7525.106898676755</v>
      </c>
      <c r="H46" s="160">
        <f t="shared" si="8"/>
        <v>7003.836239799557</v>
      </c>
      <c r="I46" s="160">
        <f t="shared" si="9"/>
        <v>7351.3500123843569</v>
      </c>
      <c r="J46" s="147">
        <v>0.75</v>
      </c>
      <c r="M46" s="318"/>
    </row>
    <row r="47" spans="1:13" s="121" customFormat="1" ht="27.75" hidden="1" customHeight="1" x14ac:dyDescent="0.3">
      <c r="A47" s="677"/>
      <c r="B47" s="223" t="s">
        <v>30</v>
      </c>
      <c r="C47" s="151">
        <v>180</v>
      </c>
      <c r="D47" s="144">
        <v>3337.2863257437766</v>
      </c>
      <c r="E47" s="144">
        <v>3757.3124487684686</v>
      </c>
      <c r="F47" s="144">
        <f t="shared" si="4"/>
        <v>7094.5987745122457</v>
      </c>
      <c r="G47" s="160">
        <f t="shared" si="7"/>
        <v>6098.9109755886011</v>
      </c>
      <c r="H47" s="160">
        <f t="shared" si="8"/>
        <v>5760.7528551994392</v>
      </c>
      <c r="I47" s="160">
        <f t="shared" si="9"/>
        <v>5986.1916021255474</v>
      </c>
      <c r="J47" s="147">
        <v>0.75</v>
      </c>
      <c r="M47" s="318"/>
    </row>
    <row r="48" spans="1:13" s="121" customFormat="1" ht="27.75" hidden="1" customHeight="1" x14ac:dyDescent="0.3">
      <c r="A48" s="678" t="s">
        <v>173</v>
      </c>
      <c r="B48" s="678"/>
      <c r="C48" s="152">
        <v>125</v>
      </c>
      <c r="D48" s="144">
        <v>2289.6963990901199</v>
      </c>
      <c r="E48" s="144">
        <v>2693.1311685185183</v>
      </c>
      <c r="F48" s="144">
        <f t="shared" si="4"/>
        <v>4982.8275676086378</v>
      </c>
      <c r="G48" s="160">
        <f t="shared" si="7"/>
        <v>4137.1843806938232</v>
      </c>
      <c r="H48" s="160">
        <f t="shared" si="8"/>
        <v>3910.9613625382676</v>
      </c>
      <c r="I48" s="160">
        <f t="shared" si="9"/>
        <v>4061.7767079753048</v>
      </c>
      <c r="J48" s="224">
        <v>0.7</v>
      </c>
      <c r="M48" s="318"/>
    </row>
    <row r="49" spans="1:13" s="121" customFormat="1" ht="27.75" hidden="1" customHeight="1" x14ac:dyDescent="0.3">
      <c r="A49" s="679" t="s">
        <v>174</v>
      </c>
      <c r="B49" s="679"/>
      <c r="C49" s="151">
        <v>75</v>
      </c>
      <c r="D49" s="144">
        <v>1724.2807846890123</v>
      </c>
      <c r="E49" s="144">
        <v>1668.1540113333333</v>
      </c>
      <c r="F49" s="144">
        <f t="shared" si="4"/>
        <v>3392.4347960223458</v>
      </c>
      <c r="G49" s="160">
        <f t="shared" si="7"/>
        <v>2868.6344364636789</v>
      </c>
      <c r="H49" s="160">
        <f t="shared" si="8"/>
        <v>2728.5094995116788</v>
      </c>
      <c r="I49" s="160">
        <f t="shared" si="9"/>
        <v>2821.9261241463455</v>
      </c>
      <c r="J49" s="224">
        <v>0.7</v>
      </c>
      <c r="M49" s="318"/>
    </row>
    <row r="50" spans="1:13" hidden="1" x14ac:dyDescent="0.25">
      <c r="A50" s="200"/>
      <c r="B50" s="6"/>
      <c r="C50" s="64"/>
      <c r="D50" s="6"/>
      <c r="E50" s="6"/>
      <c r="F50" s="6"/>
      <c r="G50" s="64"/>
      <c r="H50" s="6"/>
      <c r="I50" s="6"/>
      <c r="J50" s="72"/>
    </row>
    <row r="51" spans="1:13" ht="5.25" hidden="1" customHeight="1" x14ac:dyDescent="0.25">
      <c r="A51" s="200"/>
      <c r="B51" s="6"/>
      <c r="C51" s="64"/>
      <c r="D51" s="6"/>
      <c r="E51" s="6"/>
      <c r="F51" s="6"/>
      <c r="G51" s="64"/>
      <c r="H51" s="6"/>
      <c r="I51" s="6"/>
      <c r="J51" s="72"/>
    </row>
    <row r="52" spans="1:13" s="130" customFormat="1" ht="21" hidden="1" customHeight="1" x14ac:dyDescent="0.35">
      <c r="A52" s="203" t="s">
        <v>151</v>
      </c>
      <c r="B52" s="204"/>
      <c r="C52" s="204"/>
      <c r="D52" s="205"/>
      <c r="E52" s="205"/>
      <c r="F52" s="204"/>
      <c r="G52" s="206"/>
      <c r="H52" s="206"/>
      <c r="I52" s="206"/>
      <c r="J52" s="207"/>
      <c r="M52" s="318"/>
    </row>
    <row r="53" spans="1:13" s="130" customFormat="1" ht="21" hidden="1" customHeight="1" x14ac:dyDescent="0.35">
      <c r="A53" s="208" t="s">
        <v>179</v>
      </c>
      <c r="B53" s="132"/>
      <c r="C53" s="132"/>
      <c r="D53" s="133"/>
      <c r="E53" s="133"/>
      <c r="F53" s="132"/>
      <c r="G53" s="134"/>
      <c r="H53" s="134"/>
      <c r="I53" s="134"/>
      <c r="J53" s="209"/>
      <c r="M53" s="318"/>
    </row>
    <row r="54" spans="1:13" s="130" customFormat="1" ht="21" hidden="1" customHeight="1" x14ac:dyDescent="0.35">
      <c r="A54" s="208" t="s">
        <v>35</v>
      </c>
      <c r="B54" s="132"/>
      <c r="C54" s="132"/>
      <c r="D54" s="133"/>
      <c r="E54" s="133"/>
      <c r="F54" s="132"/>
      <c r="G54" s="134"/>
      <c r="H54" s="134"/>
      <c r="I54" s="134"/>
      <c r="J54" s="209"/>
      <c r="M54" s="318"/>
    </row>
    <row r="55" spans="1:13" s="130" customFormat="1" ht="21" hidden="1" customHeight="1" x14ac:dyDescent="0.35">
      <c r="A55" s="208" t="s">
        <v>36</v>
      </c>
      <c r="B55" s="132"/>
      <c r="C55" s="132"/>
      <c r="D55" s="133"/>
      <c r="E55" s="133"/>
      <c r="F55" s="132"/>
      <c r="G55" s="134"/>
      <c r="H55" s="134"/>
      <c r="I55" s="134"/>
      <c r="J55" s="209"/>
      <c r="M55" s="318"/>
    </row>
    <row r="56" spans="1:13" s="130" customFormat="1" ht="11.25" hidden="1" customHeight="1" x14ac:dyDescent="0.35">
      <c r="A56" s="208"/>
      <c r="B56" s="132"/>
      <c r="C56" s="132"/>
      <c r="D56" s="133"/>
      <c r="E56" s="133"/>
      <c r="F56" s="132"/>
      <c r="G56" s="134"/>
      <c r="H56" s="134"/>
      <c r="I56" s="134"/>
      <c r="J56" s="209"/>
      <c r="M56" s="318"/>
    </row>
    <row r="57" spans="1:13" s="130" customFormat="1" ht="21" hidden="1" customHeight="1" x14ac:dyDescent="0.35">
      <c r="A57" s="208" t="s">
        <v>22</v>
      </c>
      <c r="B57" s="132"/>
      <c r="C57" s="132"/>
      <c r="D57" s="133"/>
      <c r="E57" s="133"/>
      <c r="F57" s="132"/>
      <c r="G57" s="134"/>
      <c r="H57" s="134"/>
      <c r="I57" s="134"/>
      <c r="J57" s="209"/>
      <c r="M57" s="318"/>
    </row>
    <row r="58" spans="1:13" s="130" customFormat="1" ht="11.25" hidden="1" customHeight="1" x14ac:dyDescent="0.35">
      <c r="A58" s="210"/>
      <c r="B58" s="211"/>
      <c r="C58" s="211"/>
      <c r="D58" s="211"/>
      <c r="E58" s="211"/>
      <c r="F58" s="211"/>
      <c r="G58" s="211"/>
      <c r="H58" s="211"/>
      <c r="I58" s="211"/>
      <c r="J58" s="212"/>
      <c r="M58" s="318"/>
    </row>
    <row r="59" spans="1:13" s="72" customFormat="1" x14ac:dyDescent="0.25">
      <c r="A59" s="201"/>
      <c r="M59" s="319"/>
    </row>
    <row r="60" spans="1:13" x14ac:dyDescent="0.25">
      <c r="H60" s="72"/>
      <c r="I60" s="72"/>
      <c r="J60" s="72"/>
    </row>
    <row r="61" spans="1:13" x14ac:dyDescent="0.25">
      <c r="H61" s="72"/>
      <c r="I61" s="72"/>
      <c r="J61" s="72"/>
    </row>
  </sheetData>
  <mergeCells count="16">
    <mergeCell ref="A39:A42"/>
    <mergeCell ref="A43:A45"/>
    <mergeCell ref="A46:A47"/>
    <mergeCell ref="A48:B48"/>
    <mergeCell ref="A49:B49"/>
    <mergeCell ref="A37:B37"/>
    <mergeCell ref="A1:J1"/>
    <mergeCell ref="A4:B4"/>
    <mergeCell ref="A6:A11"/>
    <mergeCell ref="A12:A17"/>
    <mergeCell ref="A21:B21"/>
    <mergeCell ref="G36:G37"/>
    <mergeCell ref="H36:H37"/>
    <mergeCell ref="I36:I37"/>
    <mergeCell ref="J36:J37"/>
    <mergeCell ref="A18:A20"/>
  </mergeCells>
  <pageMargins left="0.70866141732283472" right="0.70866141732283472" top="1.1417322834645669" bottom="0.35433070866141736" header="0.31496062992125984" footer="0.31496062992125984"/>
  <pageSetup paperSize="9" scale="3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5"/>
  <sheetViews>
    <sheetView topLeftCell="A44" zoomScale="50" zoomScaleNormal="50" workbookViewId="0">
      <selection activeCell="K54" sqref="K54"/>
    </sheetView>
  </sheetViews>
  <sheetFormatPr defaultRowHeight="21" x14ac:dyDescent="0.35"/>
  <cols>
    <col min="1" max="1" width="20.5703125" style="202" customWidth="1"/>
    <col min="2" max="2" width="63.28515625" style="130" customWidth="1"/>
    <col min="3" max="3" width="16.28515625" customWidth="1"/>
    <col min="4" max="6" width="20.5703125" customWidth="1"/>
    <col min="7" max="7" width="14" hidden="1" customWidth="1"/>
    <col min="8" max="8" width="24.42578125" customWidth="1"/>
    <col min="9" max="9" width="13.5703125" customWidth="1"/>
    <col min="10" max="10" width="24.42578125" customWidth="1"/>
    <col min="11" max="11" width="22.85546875" customWidth="1"/>
    <col min="12" max="14" width="22.85546875" hidden="1" customWidth="1"/>
    <col min="15" max="15" width="26" hidden="1" customWidth="1"/>
    <col min="16" max="17" width="26" customWidth="1"/>
    <col min="18" max="18" width="17.5703125" style="130" customWidth="1"/>
    <col min="19" max="19" width="19.5703125" style="130" bestFit="1" customWidth="1"/>
    <col min="20" max="20" width="17.5703125" style="130" bestFit="1" customWidth="1"/>
    <col min="21" max="22" width="19.5703125" style="130" bestFit="1" customWidth="1"/>
    <col min="23" max="23" width="17.5703125" style="130" bestFit="1" customWidth="1"/>
    <col min="24" max="25" width="19.5703125" style="130" bestFit="1" customWidth="1"/>
    <col min="26" max="26" width="17.5703125" style="130" bestFit="1" customWidth="1"/>
    <col min="27" max="28" width="19.5703125" style="130" bestFit="1" customWidth="1"/>
    <col min="29" max="29" width="17.5703125" style="130" bestFit="1" customWidth="1"/>
    <col min="30" max="31" width="19.5703125" style="130" bestFit="1" customWidth="1"/>
    <col min="32" max="32" width="17.5703125" style="130" bestFit="1" customWidth="1"/>
    <col min="33" max="33" width="19.5703125" style="130" bestFit="1" customWidth="1"/>
    <col min="34" max="34" width="21.85546875" style="130" bestFit="1" customWidth="1"/>
    <col min="35" max="35" width="17.5703125" style="130" bestFit="1" customWidth="1"/>
    <col min="36" max="36" width="19.5703125" style="130" bestFit="1" customWidth="1"/>
    <col min="37" max="37" width="21.85546875" style="130" bestFit="1" customWidth="1"/>
    <col min="38" max="38" width="17.5703125" style="130" bestFit="1" customWidth="1"/>
    <col min="39" max="39" width="19.5703125" style="130" bestFit="1" customWidth="1"/>
    <col min="40" max="40" width="21.85546875" style="130" bestFit="1" customWidth="1"/>
    <col min="41" max="41" width="18.7109375" style="130" customWidth="1"/>
    <col min="42" max="42" width="19.5703125" style="130" bestFit="1" customWidth="1"/>
    <col min="43" max="43" width="21.85546875" style="130" bestFit="1" customWidth="1"/>
    <col min="44" max="44" width="17.5703125" style="130" bestFit="1" customWidth="1"/>
    <col min="45" max="45" width="19.5703125" style="130" bestFit="1" customWidth="1"/>
    <col min="46" max="46" width="21.85546875" style="130" bestFit="1" customWidth="1"/>
    <col min="47" max="47" width="17.5703125" style="130" bestFit="1" customWidth="1"/>
    <col min="48" max="48" width="19.5703125" style="130" bestFit="1" customWidth="1"/>
    <col min="49" max="49" width="21.85546875" style="130" bestFit="1" customWidth="1"/>
    <col min="50" max="50" width="17.5703125" style="130" bestFit="1" customWidth="1"/>
    <col min="51" max="51" width="19.5703125" style="130" bestFit="1" customWidth="1"/>
    <col min="52" max="52" width="21.85546875" style="130" bestFit="1" customWidth="1"/>
    <col min="53" max="53" width="17.5703125" style="130" bestFit="1" customWidth="1"/>
    <col min="54" max="54" width="19.5703125" style="130" bestFit="1" customWidth="1"/>
    <col min="57" max="57" width="17.85546875" bestFit="1" customWidth="1"/>
  </cols>
  <sheetData>
    <row r="1" spans="1:57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7" ht="24" hidden="1" thickBot="1" x14ac:dyDescent="0.4">
      <c r="A2" s="192"/>
      <c r="B2" s="2"/>
      <c r="C2" s="2"/>
      <c r="D2" s="2"/>
      <c r="E2" s="2"/>
      <c r="F2" s="2"/>
      <c r="K2" s="385"/>
      <c r="L2" s="385"/>
      <c r="M2" s="385"/>
      <c r="N2" s="385"/>
      <c r="O2" s="385"/>
      <c r="P2" s="385"/>
      <c r="Q2" s="385"/>
    </row>
    <row r="3" spans="1:57" ht="27" hidden="1" thickBot="1" x14ac:dyDescent="0.4">
      <c r="A3" s="236" t="s">
        <v>1</v>
      </c>
      <c r="B3" s="4"/>
      <c r="C3" s="4"/>
      <c r="D3" s="4"/>
      <c r="E3" s="4"/>
      <c r="F3" s="4"/>
    </row>
    <row r="4" spans="1:57" ht="129" customHeight="1" thickBot="1" x14ac:dyDescent="0.3">
      <c r="A4" s="757" t="s">
        <v>2</v>
      </c>
      <c r="B4" s="758"/>
      <c r="C4" s="527" t="s">
        <v>37</v>
      </c>
      <c r="D4" s="528" t="s">
        <v>229</v>
      </c>
      <c r="E4" s="528" t="s">
        <v>253</v>
      </c>
      <c r="F4" s="528" t="s">
        <v>231</v>
      </c>
      <c r="G4" s="528" t="s">
        <v>244</v>
      </c>
      <c r="H4" s="528" t="s">
        <v>249</v>
      </c>
      <c r="I4" s="527" t="s">
        <v>37</v>
      </c>
      <c r="J4" s="529" t="s">
        <v>279</v>
      </c>
      <c r="K4" s="529" t="s">
        <v>290</v>
      </c>
      <c r="L4" s="530"/>
      <c r="M4" s="530"/>
      <c r="N4" s="530"/>
      <c r="O4" s="530" t="s">
        <v>283</v>
      </c>
      <c r="P4" s="529" t="s">
        <v>291</v>
      </c>
      <c r="Q4" s="531" t="s">
        <v>288</v>
      </c>
      <c r="R4" s="506" t="s">
        <v>245</v>
      </c>
      <c r="S4" s="365">
        <v>1</v>
      </c>
      <c r="T4" s="365" t="s">
        <v>255</v>
      </c>
      <c r="U4" s="365" t="s">
        <v>267</v>
      </c>
      <c r="V4" s="365">
        <v>2</v>
      </c>
      <c r="W4" s="365" t="s">
        <v>256</v>
      </c>
      <c r="X4" s="365" t="s">
        <v>268</v>
      </c>
      <c r="Y4" s="365">
        <v>3</v>
      </c>
      <c r="Z4" s="365" t="s">
        <v>257</v>
      </c>
      <c r="AA4" s="365" t="s">
        <v>278</v>
      </c>
      <c r="AB4" s="365">
        <v>4</v>
      </c>
      <c r="AC4" s="365" t="s">
        <v>258</v>
      </c>
      <c r="AD4" s="365" t="s">
        <v>277</v>
      </c>
      <c r="AE4" s="365">
        <v>5</v>
      </c>
      <c r="AF4" s="365" t="s">
        <v>259</v>
      </c>
      <c r="AG4" s="365" t="s">
        <v>276</v>
      </c>
      <c r="AH4" s="365">
        <v>6</v>
      </c>
      <c r="AI4" s="365" t="s">
        <v>260</v>
      </c>
      <c r="AJ4" s="365" t="s">
        <v>275</v>
      </c>
      <c r="AK4" s="365">
        <v>7</v>
      </c>
      <c r="AL4" s="365" t="s">
        <v>261</v>
      </c>
      <c r="AM4" s="365" t="s">
        <v>274</v>
      </c>
      <c r="AN4" s="365">
        <v>8</v>
      </c>
      <c r="AO4" s="365" t="s">
        <v>262</v>
      </c>
      <c r="AP4" s="365" t="s">
        <v>273</v>
      </c>
      <c r="AQ4" s="365">
        <v>9</v>
      </c>
      <c r="AR4" s="365" t="s">
        <v>263</v>
      </c>
      <c r="AS4" s="365" t="s">
        <v>272</v>
      </c>
      <c r="AT4" s="365">
        <v>10</v>
      </c>
      <c r="AU4" s="365" t="s">
        <v>264</v>
      </c>
      <c r="AV4" s="365" t="s">
        <v>271</v>
      </c>
      <c r="AW4" s="365">
        <v>11</v>
      </c>
      <c r="AX4" s="365" t="s">
        <v>265</v>
      </c>
      <c r="AY4" s="365" t="s">
        <v>270</v>
      </c>
      <c r="AZ4" s="365">
        <v>12</v>
      </c>
      <c r="BA4" s="366" t="s">
        <v>266</v>
      </c>
      <c r="BB4" s="366" t="s">
        <v>269</v>
      </c>
    </row>
    <row r="5" spans="1:57" s="233" customFormat="1" ht="33.75" hidden="1" customHeight="1" x14ac:dyDescent="0.45">
      <c r="A5" s="524"/>
      <c r="B5" s="525"/>
      <c r="C5" s="526"/>
      <c r="D5" s="526"/>
      <c r="E5" s="526"/>
      <c r="F5" s="526"/>
      <c r="G5" s="507"/>
      <c r="H5" s="508">
        <v>0.93</v>
      </c>
      <c r="I5" s="507"/>
      <c r="J5" s="507"/>
      <c r="K5" s="507"/>
      <c r="L5" s="507"/>
      <c r="M5" s="507"/>
      <c r="N5" s="507"/>
      <c r="O5" s="507"/>
      <c r="P5" s="507"/>
      <c r="Q5" s="509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1"/>
    </row>
    <row r="6" spans="1:57" s="233" customFormat="1" ht="30" hidden="1" customHeight="1" x14ac:dyDescent="0.45">
      <c r="A6" s="663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507">
        <v>359</v>
      </c>
      <c r="H6" s="510">
        <f>D6+E6*$H$5*$I6-G6</f>
        <v>18227.499739999999</v>
      </c>
      <c r="I6" s="511">
        <v>0.7</v>
      </c>
      <c r="J6" s="512">
        <v>12600</v>
      </c>
      <c r="K6" s="361">
        <f>((U6+X6+AA6+AD6+AG6+AJ6+AM6+AP6+AS6+AV6+AY6+BB6)/12)+60</f>
        <v>12559.370599382668</v>
      </c>
      <c r="L6" s="390">
        <v>12559.370599382668</v>
      </c>
      <c r="M6" s="390">
        <f>L6-K6</f>
        <v>0</v>
      </c>
      <c r="N6" s="390"/>
      <c r="O6" s="390">
        <f t="shared" ref="O6:O28" si="0">K6/0.93</f>
        <v>13504.699569228675</v>
      </c>
      <c r="P6" s="390"/>
      <c r="Q6" s="513"/>
      <c r="R6" s="372">
        <f t="shared" ref="R6:R28" si="1">(H6+G6)*0.0066</f>
        <v>122.67089828399999</v>
      </c>
      <c r="S6" s="373">
        <f t="shared" ref="S6:S28" si="2">$H6*S$4</f>
        <v>18227.499739999999</v>
      </c>
      <c r="T6" s="374">
        <f>(S6-10000)*0.2+10000*0.15</f>
        <v>3145.4999479999997</v>
      </c>
      <c r="U6" s="373">
        <f t="shared" ref="U6:U28" si="3">H6-R6-T6</f>
        <v>14959.328893716</v>
      </c>
      <c r="V6" s="373">
        <f t="shared" ref="V6:V28" si="4">H6*2</f>
        <v>36454.999479999999</v>
      </c>
      <c r="W6" s="376">
        <f>(V6-25000)*0.27+4500-T6</f>
        <v>4447.3499116000003</v>
      </c>
      <c r="X6" s="373">
        <f t="shared" ref="X6:X28" si="5">H6-R6-W6</f>
        <v>13657.478930116</v>
      </c>
      <c r="Y6" s="373">
        <f t="shared" ref="Y6:Y28" si="6">H6*3</f>
        <v>54682.499219999998</v>
      </c>
      <c r="Z6" s="376">
        <f>S6*0.27</f>
        <v>4921.4249298000004</v>
      </c>
      <c r="AA6" s="373">
        <f t="shared" ref="AA6:AA28" si="7">H6-R6-Z6</f>
        <v>13183.403911916001</v>
      </c>
      <c r="AB6" s="373">
        <f t="shared" ref="AB6:AB28" si="8">H6*4</f>
        <v>72909.998959999997</v>
      </c>
      <c r="AC6" s="376">
        <f t="shared" ref="AC6:AC22" si="9">H6*0.27</f>
        <v>4921.4249298000004</v>
      </c>
      <c r="AD6" s="373">
        <f t="shared" ref="AD6:AD28" si="10">H6-R6-AC6</f>
        <v>13183.403911916001</v>
      </c>
      <c r="AE6" s="373">
        <f t="shared" ref="AE6:AE28" si="11">H6*5</f>
        <v>91137.498699999996</v>
      </c>
      <c r="AF6" s="377">
        <f>(AE6-88000)*0.35+(88000-AB6)*0.27</f>
        <v>5172.4248257999998</v>
      </c>
      <c r="AG6" s="373">
        <f t="shared" ref="AG6:AG28" si="12">H6-R6-AF6</f>
        <v>12932.404015915999</v>
      </c>
      <c r="AH6" s="373">
        <f t="shared" ref="AH6:AH28" si="13">H6*6</f>
        <v>109364.99844</v>
      </c>
      <c r="AI6" s="377">
        <f>$H$6*0.35</f>
        <v>6379.6249089999992</v>
      </c>
      <c r="AJ6" s="373">
        <f t="shared" ref="AJ6:AJ28" si="14">H6-R6-AI6</f>
        <v>11725.203932716002</v>
      </c>
      <c r="AK6" s="373">
        <f t="shared" ref="AK6:AK28" si="15">H6*7</f>
        <v>127592.49818</v>
      </c>
      <c r="AL6" s="377">
        <f>$H$6*0.35</f>
        <v>6379.6249089999992</v>
      </c>
      <c r="AM6" s="373">
        <f t="shared" ref="AM6:AM28" si="16">H6-R6-AL6</f>
        <v>11725.203932716002</v>
      </c>
      <c r="AN6" s="373">
        <f t="shared" ref="AN6:AN28" si="17">H6*8</f>
        <v>145819.99791999999</v>
      </c>
      <c r="AO6" s="377">
        <f>$H$6*0.35</f>
        <v>6379.6249089999992</v>
      </c>
      <c r="AP6" s="373">
        <f t="shared" ref="AP6:AP28" si="18">H6-R6-AO6</f>
        <v>11725.203932716002</v>
      </c>
      <c r="AQ6" s="373">
        <f t="shared" ref="AQ6:AQ28" si="19">H6*9</f>
        <v>164047.49765999999</v>
      </c>
      <c r="AR6" s="377">
        <f>$H$6*0.35</f>
        <v>6379.6249089999992</v>
      </c>
      <c r="AS6" s="373">
        <f t="shared" ref="AS6:AS28" si="20">H6-R6-AR6</f>
        <v>11725.203932716002</v>
      </c>
      <c r="AT6" s="373">
        <f t="shared" ref="AT6:AT28" si="21">H6*10</f>
        <v>182274.99739999999</v>
      </c>
      <c r="AU6" s="377">
        <f>$H$6*0.35</f>
        <v>6379.6249089999992</v>
      </c>
      <c r="AV6" s="373">
        <f t="shared" ref="AV6:AV28" si="22">H6-R6-AU6</f>
        <v>11725.203932716002</v>
      </c>
      <c r="AW6" s="373">
        <f t="shared" ref="AW6:AW28" si="23">H6*11</f>
        <v>200502.49713999999</v>
      </c>
      <c r="AX6" s="377">
        <f>$H$6*0.35</f>
        <v>6379.6249089999992</v>
      </c>
      <c r="AY6" s="373">
        <f t="shared" ref="AY6:AY28" si="24">H6-R6-AX6</f>
        <v>11725.203932716002</v>
      </c>
      <c r="AZ6" s="373">
        <f t="shared" ref="AZ6:AZ28" si="25">H6*12</f>
        <v>218729.99687999999</v>
      </c>
      <c r="BA6" s="377">
        <f>$H$6*0.35</f>
        <v>6379.6249089999992</v>
      </c>
      <c r="BB6" s="373">
        <f t="shared" ref="BB6:BB28" si="26">H6-R6-BA6</f>
        <v>11725.203932716002</v>
      </c>
      <c r="BC6" s="371"/>
      <c r="BE6" s="358"/>
    </row>
    <row r="7" spans="1:57" s="233" customFormat="1" ht="30" hidden="1" customHeight="1" x14ac:dyDescent="0.45">
      <c r="A7" s="664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507">
        <v>359</v>
      </c>
      <c r="H7" s="510">
        <f>D7+E7*$H$5*$I7-G7</f>
        <v>11924.021305999999</v>
      </c>
      <c r="I7" s="514">
        <v>0.33</v>
      </c>
      <c r="J7" s="512">
        <v>8500</v>
      </c>
      <c r="K7" s="361">
        <f t="shared" ref="K7:K54" si="27">((U7+X7+AA7+AD7+AG7+AJ7+AM7+AP7+AS7+AV7+AY7+BB7)/12)+60</f>
        <v>8503.712574947067</v>
      </c>
      <c r="L7" s="390">
        <v>8503.712574947067</v>
      </c>
      <c r="M7" s="390">
        <f t="shared" ref="M7:M28" si="28">L7-K7</f>
        <v>0</v>
      </c>
      <c r="N7" s="390"/>
      <c r="O7" s="390">
        <f t="shared" si="0"/>
        <v>9143.7769623086733</v>
      </c>
      <c r="P7" s="390"/>
      <c r="Q7" s="513"/>
      <c r="R7" s="372">
        <f t="shared" si="1"/>
        <v>81.067940619599995</v>
      </c>
      <c r="S7" s="373">
        <f t="shared" si="2"/>
        <v>11924.021305999999</v>
      </c>
      <c r="T7" s="374">
        <f>(S7-10000)*0.2+1500</f>
        <v>1884.8042611999997</v>
      </c>
      <c r="U7" s="373">
        <f t="shared" si="3"/>
        <v>9958.1491041804002</v>
      </c>
      <c r="V7" s="373">
        <f t="shared" si="4"/>
        <v>23848.042611999997</v>
      </c>
      <c r="W7" s="374">
        <f>H7*0.2</f>
        <v>2384.8042611999999</v>
      </c>
      <c r="X7" s="373">
        <f t="shared" si="5"/>
        <v>9458.1491041804002</v>
      </c>
      <c r="Y7" s="373">
        <f t="shared" si="6"/>
        <v>35772.063918</v>
      </c>
      <c r="Z7" s="376">
        <f>(25000-V7)*0.2+(Y7-25000)*0.27</f>
        <v>3138.8487354600006</v>
      </c>
      <c r="AA7" s="373">
        <f t="shared" si="7"/>
        <v>8704.104629920399</v>
      </c>
      <c r="AB7" s="373">
        <f t="shared" si="8"/>
        <v>47696.085223999995</v>
      </c>
      <c r="AC7" s="376">
        <f t="shared" si="9"/>
        <v>3219.4857526199999</v>
      </c>
      <c r="AD7" s="373">
        <f t="shared" si="10"/>
        <v>8623.4676127603998</v>
      </c>
      <c r="AE7" s="373">
        <f t="shared" si="11"/>
        <v>59620.10652999999</v>
      </c>
      <c r="AF7" s="376">
        <f t="shared" ref="AF7:AF24" si="29">H7*0.27</f>
        <v>3219.4857526199999</v>
      </c>
      <c r="AG7" s="373">
        <f t="shared" si="12"/>
        <v>8623.4676127603998</v>
      </c>
      <c r="AH7" s="373">
        <f t="shared" si="13"/>
        <v>71544.127836</v>
      </c>
      <c r="AI7" s="376">
        <f t="shared" ref="AI7:AI14" si="30">H7*0.27</f>
        <v>3219.4857526199999</v>
      </c>
      <c r="AJ7" s="373">
        <f t="shared" si="14"/>
        <v>8623.4676127603998</v>
      </c>
      <c r="AK7" s="373">
        <f t="shared" si="15"/>
        <v>83468.149141999995</v>
      </c>
      <c r="AL7" s="376">
        <f>H7*0.27</f>
        <v>3219.4857526199999</v>
      </c>
      <c r="AM7" s="373">
        <f t="shared" si="16"/>
        <v>8623.4676127603998</v>
      </c>
      <c r="AN7" s="373">
        <f t="shared" si="17"/>
        <v>95392.17044799999</v>
      </c>
      <c r="AO7" s="377">
        <f>(AN7-88000)*0.35+(88000-AK7)*0.27</f>
        <v>3810.8593884599977</v>
      </c>
      <c r="AP7" s="373">
        <f t="shared" si="18"/>
        <v>8032.0939769204015</v>
      </c>
      <c r="AQ7" s="373">
        <f t="shared" si="19"/>
        <v>107316.19175399998</v>
      </c>
      <c r="AR7" s="377">
        <f>H7*0.35</f>
        <v>4173.4074570999992</v>
      </c>
      <c r="AS7" s="373">
        <f t="shared" si="20"/>
        <v>7669.5459082804</v>
      </c>
      <c r="AT7" s="373">
        <f t="shared" si="21"/>
        <v>119240.21305999998</v>
      </c>
      <c r="AU7" s="377">
        <f t="shared" ref="AU7:AU12" si="31">H7*0.35</f>
        <v>4173.4074570999992</v>
      </c>
      <c r="AV7" s="373">
        <f t="shared" si="22"/>
        <v>7669.5459082804</v>
      </c>
      <c r="AW7" s="373">
        <f t="shared" si="23"/>
        <v>131164.23436599999</v>
      </c>
      <c r="AX7" s="377">
        <f t="shared" ref="AX7:AX13" si="32">H7*0.35</f>
        <v>4173.4074570999992</v>
      </c>
      <c r="AY7" s="373">
        <f t="shared" si="24"/>
        <v>7669.5459082804</v>
      </c>
      <c r="AZ7" s="373">
        <f t="shared" si="25"/>
        <v>143088.255672</v>
      </c>
      <c r="BA7" s="377">
        <f t="shared" ref="BA7" si="33">AX7</f>
        <v>4173.4074570999992</v>
      </c>
      <c r="BB7" s="373">
        <f t="shared" si="26"/>
        <v>7669.5459082804</v>
      </c>
      <c r="BC7" s="371"/>
      <c r="BE7" s="358"/>
    </row>
    <row r="8" spans="1:57" s="233" customFormat="1" ht="30" hidden="1" customHeight="1" x14ac:dyDescent="0.45">
      <c r="A8" s="664"/>
      <c r="B8" s="485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507">
        <v>359</v>
      </c>
      <c r="H8" s="510">
        <f t="shared" ref="H8:H28" si="34">D8+E8*$H$5*$I8-G8</f>
        <v>9709.2856400000001</v>
      </c>
      <c r="I8" s="514">
        <v>0.2</v>
      </c>
      <c r="J8" s="512">
        <v>7066</v>
      </c>
      <c r="K8" s="361">
        <f t="shared" si="27"/>
        <v>7078.7516474426657</v>
      </c>
      <c r="L8" s="390">
        <v>7078.7516474426657</v>
      </c>
      <c r="M8" s="390">
        <f t="shared" si="28"/>
        <v>0</v>
      </c>
      <c r="N8" s="390"/>
      <c r="O8" s="390">
        <f t="shared" si="0"/>
        <v>7611.560911228672</v>
      </c>
      <c r="P8" s="390"/>
      <c r="Q8" s="513"/>
      <c r="R8" s="372">
        <f t="shared" si="1"/>
        <v>66.450685223999997</v>
      </c>
      <c r="S8" s="373">
        <f t="shared" si="2"/>
        <v>9709.2856400000001</v>
      </c>
      <c r="T8" s="378">
        <f>H8*0.15</f>
        <v>1456.392846</v>
      </c>
      <c r="U8" s="373">
        <f t="shared" si="3"/>
        <v>8186.4421087760011</v>
      </c>
      <c r="V8" s="373">
        <f t="shared" si="4"/>
        <v>19418.57128</v>
      </c>
      <c r="W8" s="374">
        <f t="shared" ref="W8" si="35">(V8-10000)*0.2+(10000-S8)*0.15</f>
        <v>1927.3214100000002</v>
      </c>
      <c r="X8" s="373">
        <f t="shared" si="5"/>
        <v>7715.5135447760003</v>
      </c>
      <c r="Y8" s="373">
        <f t="shared" si="6"/>
        <v>29127.856919999998</v>
      </c>
      <c r="Z8" s="376">
        <f>(Y8-25000)*0.27+(25000-V8)*0.2</f>
        <v>2230.8071123999998</v>
      </c>
      <c r="AA8" s="373">
        <f t="shared" si="7"/>
        <v>7412.027842376001</v>
      </c>
      <c r="AB8" s="373">
        <f t="shared" si="8"/>
        <v>38837.14256</v>
      </c>
      <c r="AC8" s="376">
        <f t="shared" si="9"/>
        <v>2621.5071228000002</v>
      </c>
      <c r="AD8" s="373">
        <f t="shared" si="10"/>
        <v>7021.3278319760011</v>
      </c>
      <c r="AE8" s="373">
        <f t="shared" si="11"/>
        <v>48546.428200000002</v>
      </c>
      <c r="AF8" s="376">
        <f t="shared" si="29"/>
        <v>2621.5071228000002</v>
      </c>
      <c r="AG8" s="373">
        <f t="shared" si="12"/>
        <v>7021.3278319760011</v>
      </c>
      <c r="AH8" s="373">
        <f t="shared" si="13"/>
        <v>58255.713839999997</v>
      </c>
      <c r="AI8" s="376">
        <f t="shared" si="30"/>
        <v>2621.5071228000002</v>
      </c>
      <c r="AJ8" s="373">
        <f t="shared" si="14"/>
        <v>7021.3278319760011</v>
      </c>
      <c r="AK8" s="373">
        <f t="shared" si="15"/>
        <v>67964.999479999999</v>
      </c>
      <c r="AL8" s="376">
        <f>H8*0.27</f>
        <v>2621.5071228000002</v>
      </c>
      <c r="AM8" s="373">
        <f t="shared" si="16"/>
        <v>7021.3278319760011</v>
      </c>
      <c r="AN8" s="373">
        <f t="shared" si="17"/>
        <v>77674.28512</v>
      </c>
      <c r="AO8" s="376">
        <f>H8*0.27</f>
        <v>2621.5071228000002</v>
      </c>
      <c r="AP8" s="373">
        <f t="shared" si="18"/>
        <v>7021.3278319760011</v>
      </c>
      <c r="AQ8" s="373">
        <f t="shared" si="19"/>
        <v>87383.570760000002</v>
      </c>
      <c r="AR8" s="377">
        <f>(AQ8-88000)*0.35+(88000-AN8)*0.27</f>
        <v>2572.1927836000009</v>
      </c>
      <c r="AS8" s="373">
        <f t="shared" si="20"/>
        <v>7070.6421711759995</v>
      </c>
      <c r="AT8" s="373">
        <f t="shared" si="21"/>
        <v>97092.856400000004</v>
      </c>
      <c r="AU8" s="377">
        <f t="shared" si="31"/>
        <v>3398.2499739999998</v>
      </c>
      <c r="AV8" s="373">
        <f t="shared" si="22"/>
        <v>6244.5849807760005</v>
      </c>
      <c r="AW8" s="373">
        <f t="shared" si="23"/>
        <v>106802.14204000001</v>
      </c>
      <c r="AX8" s="377">
        <f t="shared" si="32"/>
        <v>3398.2499739999998</v>
      </c>
      <c r="AY8" s="373">
        <f t="shared" si="24"/>
        <v>6244.5849807760005</v>
      </c>
      <c r="AZ8" s="373">
        <f t="shared" si="25"/>
        <v>116511.42767999999</v>
      </c>
      <c r="BA8" s="377">
        <f t="shared" ref="BA8:BA22" si="36">H8*0.35</f>
        <v>3398.2499739999998</v>
      </c>
      <c r="BB8" s="373">
        <f t="shared" si="26"/>
        <v>6244.5849807760005</v>
      </c>
      <c r="BC8" s="371"/>
      <c r="BE8" s="358"/>
    </row>
    <row r="9" spans="1:57" s="233" customFormat="1" ht="30" hidden="1" customHeight="1" x14ac:dyDescent="0.45">
      <c r="A9" s="664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37">D9+E9</f>
        <v>19983.72</v>
      </c>
      <c r="G9" s="507">
        <v>359</v>
      </c>
      <c r="H9" s="510">
        <f t="shared" si="34"/>
        <v>14107.781648</v>
      </c>
      <c r="I9" s="514">
        <v>0.63</v>
      </c>
      <c r="J9" s="512">
        <v>9900</v>
      </c>
      <c r="K9" s="361">
        <f t="shared" si="27"/>
        <v>9908.743978989869</v>
      </c>
      <c r="L9" s="390">
        <v>9908.743978989869</v>
      </c>
      <c r="M9" s="390">
        <f t="shared" si="28"/>
        <v>0</v>
      </c>
      <c r="N9" s="390"/>
      <c r="O9" s="390">
        <f t="shared" si="0"/>
        <v>10654.563418268675</v>
      </c>
      <c r="P9" s="390"/>
      <c r="Q9" s="513"/>
      <c r="R9" s="372">
        <f t="shared" si="1"/>
        <v>95.480758876799996</v>
      </c>
      <c r="S9" s="373">
        <f t="shared" si="2"/>
        <v>14107.781648</v>
      </c>
      <c r="T9" s="374">
        <f t="shared" ref="T9:T20" si="38">(S9-10000)*0.2+10000*0.15</f>
        <v>2321.5563296</v>
      </c>
      <c r="U9" s="373">
        <f t="shared" si="3"/>
        <v>11690.7445595232</v>
      </c>
      <c r="V9" s="373">
        <f t="shared" si="4"/>
        <v>28215.563296</v>
      </c>
      <c r="W9" s="376">
        <f>(V9-25000)*0.27+(25000-S9)*0.2</f>
        <v>3046.6457603200001</v>
      </c>
      <c r="X9" s="373">
        <f t="shared" si="5"/>
        <v>10965.655128803201</v>
      </c>
      <c r="Y9" s="373">
        <f t="shared" si="6"/>
        <v>42323.344943999997</v>
      </c>
      <c r="Z9" s="376">
        <f t="shared" ref="Z9:Z10" si="39">S9*0.27</f>
        <v>3809.1010449600003</v>
      </c>
      <c r="AA9" s="373">
        <f t="shared" si="7"/>
        <v>10203.1998441632</v>
      </c>
      <c r="AB9" s="373">
        <f t="shared" si="8"/>
        <v>56431.126592000001</v>
      </c>
      <c r="AC9" s="376">
        <f t="shared" si="9"/>
        <v>3809.1010449600003</v>
      </c>
      <c r="AD9" s="373">
        <f t="shared" si="10"/>
        <v>10203.1998441632</v>
      </c>
      <c r="AE9" s="373">
        <f t="shared" si="11"/>
        <v>70538.908240000004</v>
      </c>
      <c r="AF9" s="376">
        <f t="shared" si="29"/>
        <v>3809.1010449600003</v>
      </c>
      <c r="AG9" s="373">
        <f t="shared" si="12"/>
        <v>10203.1998441632</v>
      </c>
      <c r="AH9" s="373">
        <f t="shared" si="13"/>
        <v>84646.689887999994</v>
      </c>
      <c r="AI9" s="376">
        <f t="shared" si="30"/>
        <v>3809.1010449600003</v>
      </c>
      <c r="AJ9" s="373">
        <f t="shared" si="14"/>
        <v>10203.1998441632</v>
      </c>
      <c r="AK9" s="373">
        <f t="shared" si="15"/>
        <v>98754.471535999997</v>
      </c>
      <c r="AL9" s="377">
        <f>(AK9-88000)*0.35+(88000-AH9)*0.27</f>
        <v>4669.4587678400003</v>
      </c>
      <c r="AM9" s="373">
        <f t="shared" si="16"/>
        <v>9342.8421212832</v>
      </c>
      <c r="AN9" s="373">
        <f t="shared" si="17"/>
        <v>112862.253184</v>
      </c>
      <c r="AO9" s="377">
        <f>H9*0.35</f>
        <v>4937.7235768</v>
      </c>
      <c r="AP9" s="373">
        <f t="shared" si="18"/>
        <v>9074.5773123231993</v>
      </c>
      <c r="AQ9" s="373">
        <f t="shared" si="19"/>
        <v>126970.034832</v>
      </c>
      <c r="AR9" s="377">
        <f>H9*0.35</f>
        <v>4937.7235768</v>
      </c>
      <c r="AS9" s="373">
        <f t="shared" si="20"/>
        <v>9074.5773123231993</v>
      </c>
      <c r="AT9" s="373">
        <f t="shared" si="21"/>
        <v>141077.81648000001</v>
      </c>
      <c r="AU9" s="377">
        <f t="shared" si="31"/>
        <v>4937.7235768</v>
      </c>
      <c r="AV9" s="373">
        <f t="shared" si="22"/>
        <v>9074.5773123231993</v>
      </c>
      <c r="AW9" s="373">
        <f t="shared" si="23"/>
        <v>155185.59812800001</v>
      </c>
      <c r="AX9" s="377">
        <f t="shared" si="32"/>
        <v>4937.7235768</v>
      </c>
      <c r="AY9" s="373">
        <f t="shared" si="24"/>
        <v>9074.5773123231993</v>
      </c>
      <c r="AZ9" s="373">
        <f t="shared" si="25"/>
        <v>169293.37977599999</v>
      </c>
      <c r="BA9" s="377">
        <f t="shared" si="36"/>
        <v>4937.7235768</v>
      </c>
      <c r="BB9" s="373">
        <f t="shared" si="26"/>
        <v>9074.5773123231993</v>
      </c>
      <c r="BC9" s="371"/>
      <c r="BE9" s="358"/>
    </row>
    <row r="10" spans="1:57" s="233" customFormat="1" ht="30" hidden="1" customHeight="1" x14ac:dyDescent="0.45">
      <c r="A10" s="664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37"/>
        <v>19983.72</v>
      </c>
      <c r="G10" s="507">
        <v>359</v>
      </c>
      <c r="H10" s="510">
        <f t="shared" si="34"/>
        <v>12497.0648</v>
      </c>
      <c r="I10" s="511">
        <v>0.5</v>
      </c>
      <c r="J10" s="512">
        <v>8900</v>
      </c>
      <c r="K10" s="361">
        <f t="shared" si="27"/>
        <v>8872.3745149866663</v>
      </c>
      <c r="L10" s="390">
        <v>8872.3745149866663</v>
      </c>
      <c r="M10" s="390">
        <f t="shared" si="28"/>
        <v>0</v>
      </c>
      <c r="N10" s="390"/>
      <c r="O10" s="390">
        <f t="shared" si="0"/>
        <v>9540.1876505232958</v>
      </c>
      <c r="P10" s="390"/>
      <c r="Q10" s="513"/>
      <c r="R10" s="372">
        <f t="shared" si="1"/>
        <v>84.850027679999997</v>
      </c>
      <c r="S10" s="373">
        <f t="shared" si="2"/>
        <v>12497.0648</v>
      </c>
      <c r="T10" s="374">
        <f t="shared" si="38"/>
        <v>1999.4129600000001</v>
      </c>
      <c r="U10" s="373">
        <f t="shared" si="3"/>
        <v>10412.80181232</v>
      </c>
      <c r="V10" s="373">
        <f t="shared" si="4"/>
        <v>24994.1296</v>
      </c>
      <c r="W10" s="376">
        <f>H10*0.2</f>
        <v>2499.4129600000001</v>
      </c>
      <c r="X10" s="373">
        <f t="shared" si="5"/>
        <v>9912.80181232</v>
      </c>
      <c r="Y10" s="373">
        <f t="shared" si="6"/>
        <v>37491.1944</v>
      </c>
      <c r="Z10" s="376">
        <f t="shared" si="39"/>
        <v>3374.2074960000004</v>
      </c>
      <c r="AA10" s="373">
        <f t="shared" si="7"/>
        <v>9038.0072763199987</v>
      </c>
      <c r="AB10" s="373">
        <f t="shared" si="8"/>
        <v>49988.2592</v>
      </c>
      <c r="AC10" s="376">
        <f t="shared" si="9"/>
        <v>3374.2074960000004</v>
      </c>
      <c r="AD10" s="373">
        <f t="shared" si="10"/>
        <v>9038.0072763199987</v>
      </c>
      <c r="AE10" s="373">
        <f t="shared" si="11"/>
        <v>62485.324000000001</v>
      </c>
      <c r="AF10" s="376">
        <f t="shared" si="29"/>
        <v>3374.2074960000004</v>
      </c>
      <c r="AG10" s="373">
        <f t="shared" si="12"/>
        <v>9038.0072763199987</v>
      </c>
      <c r="AH10" s="373">
        <f t="shared" si="13"/>
        <v>74982.388800000001</v>
      </c>
      <c r="AI10" s="376">
        <f t="shared" si="30"/>
        <v>3374.2074960000004</v>
      </c>
      <c r="AJ10" s="373">
        <f t="shared" si="14"/>
        <v>9038.0072763199987</v>
      </c>
      <c r="AK10" s="373">
        <f t="shared" si="15"/>
        <v>87479.453600000008</v>
      </c>
      <c r="AL10" s="376">
        <f>H10*0.27</f>
        <v>3374.2074960000004</v>
      </c>
      <c r="AM10" s="373">
        <f t="shared" si="16"/>
        <v>9038.0072763199987</v>
      </c>
      <c r="AN10" s="373">
        <f t="shared" si="17"/>
        <v>99976.518400000001</v>
      </c>
      <c r="AO10" s="377">
        <f>(AN10-88000)*0.35+(88000-AK10)*0.27</f>
        <v>4332.328967999998</v>
      </c>
      <c r="AP10" s="373">
        <f t="shared" si="18"/>
        <v>8079.8858043200016</v>
      </c>
      <c r="AQ10" s="373">
        <f t="shared" si="19"/>
        <v>112473.58319999999</v>
      </c>
      <c r="AR10" s="377">
        <f>H10*0.35</f>
        <v>4373.9726799999999</v>
      </c>
      <c r="AS10" s="373">
        <f t="shared" si="20"/>
        <v>8038.2420923199998</v>
      </c>
      <c r="AT10" s="373">
        <f t="shared" si="21"/>
        <v>124970.648</v>
      </c>
      <c r="AU10" s="377">
        <f t="shared" si="31"/>
        <v>4373.9726799999999</v>
      </c>
      <c r="AV10" s="373">
        <f t="shared" si="22"/>
        <v>8038.2420923199998</v>
      </c>
      <c r="AW10" s="373">
        <f t="shared" si="23"/>
        <v>137467.71280000001</v>
      </c>
      <c r="AX10" s="377">
        <f t="shared" si="32"/>
        <v>4373.9726799999999</v>
      </c>
      <c r="AY10" s="373">
        <f t="shared" si="24"/>
        <v>8038.2420923199998</v>
      </c>
      <c r="AZ10" s="373">
        <f t="shared" si="25"/>
        <v>149964.7776</v>
      </c>
      <c r="BA10" s="377">
        <f t="shared" si="36"/>
        <v>4373.9726799999999</v>
      </c>
      <c r="BB10" s="373">
        <f t="shared" si="26"/>
        <v>8038.2420923199998</v>
      </c>
      <c r="BC10" s="371"/>
      <c r="BE10" s="358"/>
    </row>
    <row r="11" spans="1:57" s="233" customFormat="1" ht="30" hidden="1" customHeight="1" x14ac:dyDescent="0.45">
      <c r="A11" s="664"/>
      <c r="B11" s="485" t="s">
        <v>234</v>
      </c>
      <c r="C11" s="231">
        <v>300</v>
      </c>
      <c r="D11" s="238">
        <v>6661</v>
      </c>
      <c r="E11" s="234">
        <v>9992.0399999999991</v>
      </c>
      <c r="F11" s="234">
        <f t="shared" si="37"/>
        <v>16653.04</v>
      </c>
      <c r="G11" s="507">
        <v>359</v>
      </c>
      <c r="H11" s="510">
        <f t="shared" si="34"/>
        <v>10204.890824</v>
      </c>
      <c r="I11" s="511">
        <v>0.42</v>
      </c>
      <c r="J11" s="512">
        <v>7400</v>
      </c>
      <c r="K11" s="361">
        <f t="shared" si="27"/>
        <v>7397.624022828265</v>
      </c>
      <c r="L11" s="390">
        <v>7397.624022828265</v>
      </c>
      <c r="M11" s="390">
        <f t="shared" si="28"/>
        <v>0</v>
      </c>
      <c r="N11" s="390"/>
      <c r="O11" s="390">
        <f t="shared" si="0"/>
        <v>7954.4344331486718</v>
      </c>
      <c r="P11" s="390"/>
      <c r="Q11" s="513"/>
      <c r="R11" s="372">
        <f t="shared" si="1"/>
        <v>69.721679438400002</v>
      </c>
      <c r="S11" s="373">
        <f t="shared" si="2"/>
        <v>10204.890824</v>
      </c>
      <c r="T11" s="374">
        <f t="shared" si="38"/>
        <v>1540.9781648000001</v>
      </c>
      <c r="U11" s="373">
        <f t="shared" si="3"/>
        <v>8594.190979761599</v>
      </c>
      <c r="V11" s="373">
        <f t="shared" si="4"/>
        <v>20409.781648</v>
      </c>
      <c r="W11" s="374">
        <f>H11*0.2</f>
        <v>2040.9781648000001</v>
      </c>
      <c r="X11" s="373">
        <f t="shared" si="5"/>
        <v>8094.1909797615999</v>
      </c>
      <c r="Y11" s="373">
        <f t="shared" si="6"/>
        <v>30614.672471999998</v>
      </c>
      <c r="Z11" s="376">
        <f>(Y11-25000)*0.27+(25000-V11)*0.2</f>
        <v>2434.0052378399996</v>
      </c>
      <c r="AA11" s="373">
        <f t="shared" si="7"/>
        <v>7701.1639067216001</v>
      </c>
      <c r="AB11" s="373">
        <f t="shared" si="8"/>
        <v>40819.563296</v>
      </c>
      <c r="AC11" s="376">
        <f t="shared" si="9"/>
        <v>2755.3205224800004</v>
      </c>
      <c r="AD11" s="373">
        <f t="shared" si="10"/>
        <v>7379.8486220815994</v>
      </c>
      <c r="AE11" s="373">
        <f t="shared" si="11"/>
        <v>51024.454120000002</v>
      </c>
      <c r="AF11" s="376">
        <f t="shared" si="29"/>
        <v>2755.3205224800004</v>
      </c>
      <c r="AG11" s="373">
        <f t="shared" si="12"/>
        <v>7379.8486220815994</v>
      </c>
      <c r="AH11" s="373">
        <f t="shared" si="13"/>
        <v>61229.344943999997</v>
      </c>
      <c r="AI11" s="376">
        <f t="shared" si="30"/>
        <v>2755.3205224800004</v>
      </c>
      <c r="AJ11" s="373">
        <f t="shared" si="14"/>
        <v>7379.8486220815994</v>
      </c>
      <c r="AK11" s="373">
        <f t="shared" si="15"/>
        <v>71434.235767999999</v>
      </c>
      <c r="AL11" s="376">
        <f>H11*0.27</f>
        <v>2755.3205224800004</v>
      </c>
      <c r="AM11" s="373">
        <f t="shared" si="16"/>
        <v>7379.8486220815994</v>
      </c>
      <c r="AN11" s="373">
        <f t="shared" si="17"/>
        <v>81639.126592000001</v>
      </c>
      <c r="AO11" s="376">
        <f>H11*0.27</f>
        <v>2755.3205224800004</v>
      </c>
      <c r="AP11" s="373">
        <f t="shared" si="18"/>
        <v>7379.8486220815994</v>
      </c>
      <c r="AQ11" s="373">
        <f t="shared" si="19"/>
        <v>91844.017416000002</v>
      </c>
      <c r="AR11" s="377">
        <f>(AQ11-88000)*0.35+(88000-AN11)*0.27</f>
        <v>3062.841915760001</v>
      </c>
      <c r="AS11" s="373">
        <f t="shared" si="20"/>
        <v>7072.3272288015987</v>
      </c>
      <c r="AT11" s="373">
        <f t="shared" si="21"/>
        <v>102048.90824</v>
      </c>
      <c r="AU11" s="377">
        <f t="shared" si="31"/>
        <v>3571.7117883999999</v>
      </c>
      <c r="AV11" s="373">
        <f t="shared" si="22"/>
        <v>6563.4573561615998</v>
      </c>
      <c r="AW11" s="373">
        <f t="shared" si="23"/>
        <v>112253.79906400001</v>
      </c>
      <c r="AX11" s="377">
        <f t="shared" si="32"/>
        <v>3571.7117883999999</v>
      </c>
      <c r="AY11" s="373">
        <f t="shared" si="24"/>
        <v>6563.4573561615998</v>
      </c>
      <c r="AZ11" s="373">
        <f t="shared" si="25"/>
        <v>122458.68988799999</v>
      </c>
      <c r="BA11" s="377">
        <f t="shared" si="36"/>
        <v>3571.7117883999999</v>
      </c>
      <c r="BB11" s="373">
        <f t="shared" si="26"/>
        <v>6563.4573561615998</v>
      </c>
      <c r="BC11" s="371"/>
      <c r="BE11" s="358"/>
    </row>
    <row r="12" spans="1:57" s="380" customFormat="1" ht="30" hidden="1" customHeight="1" x14ac:dyDescent="0.45">
      <c r="A12" s="664"/>
      <c r="B12" s="485" t="s">
        <v>236</v>
      </c>
      <c r="C12" s="231">
        <v>300</v>
      </c>
      <c r="D12" s="238">
        <v>6661</v>
      </c>
      <c r="E12" s="234">
        <v>9992.0399999999991</v>
      </c>
      <c r="F12" s="234">
        <f t="shared" si="37"/>
        <v>16653.04</v>
      </c>
      <c r="G12" s="507">
        <v>359</v>
      </c>
      <c r="H12" s="510">
        <f t="shared" si="34"/>
        <v>9926.1129079999992</v>
      </c>
      <c r="I12" s="511">
        <v>0.39</v>
      </c>
      <c r="J12" s="512">
        <v>7200</v>
      </c>
      <c r="K12" s="361">
        <f t="shared" si="27"/>
        <v>7218.2583116738651</v>
      </c>
      <c r="L12" s="390">
        <v>7218.2583116738651</v>
      </c>
      <c r="M12" s="390">
        <f t="shared" si="28"/>
        <v>0</v>
      </c>
      <c r="N12" s="390"/>
      <c r="O12" s="390">
        <f t="shared" si="0"/>
        <v>7761.5680770686722</v>
      </c>
      <c r="P12" s="390"/>
      <c r="Q12" s="513"/>
      <c r="R12" s="372">
        <f t="shared" si="1"/>
        <v>67.881745192799997</v>
      </c>
      <c r="S12" s="373">
        <f t="shared" si="2"/>
        <v>9926.1129079999992</v>
      </c>
      <c r="T12" s="378">
        <f>(S12*0.15)</f>
        <v>1488.9169361999998</v>
      </c>
      <c r="U12" s="373">
        <f t="shared" si="3"/>
        <v>8369.3142266071991</v>
      </c>
      <c r="V12" s="373">
        <f t="shared" si="4"/>
        <v>19852.225815999998</v>
      </c>
      <c r="W12" s="374">
        <f>(V12-10000)*0.2+(10000-S12)*0.15</f>
        <v>1981.528227</v>
      </c>
      <c r="X12" s="373">
        <f t="shared" si="5"/>
        <v>7876.7029358071986</v>
      </c>
      <c r="Y12" s="373">
        <f t="shared" si="6"/>
        <v>29778.338723999997</v>
      </c>
      <c r="Z12" s="382">
        <f>(Y12-25000)*0.27+(25000-V12)*0.2</f>
        <v>2319.7062922799996</v>
      </c>
      <c r="AA12" s="373">
        <f t="shared" si="7"/>
        <v>7538.5248705271988</v>
      </c>
      <c r="AB12" s="373">
        <f t="shared" si="8"/>
        <v>39704.451631999997</v>
      </c>
      <c r="AC12" s="382">
        <f t="shared" si="9"/>
        <v>2680.0504851599999</v>
      </c>
      <c r="AD12" s="373">
        <f t="shared" si="10"/>
        <v>7178.1806776471985</v>
      </c>
      <c r="AE12" s="373">
        <f t="shared" si="11"/>
        <v>49630.564539999992</v>
      </c>
      <c r="AF12" s="382">
        <f t="shared" si="29"/>
        <v>2680.0504851599999</v>
      </c>
      <c r="AG12" s="373">
        <f t="shared" si="12"/>
        <v>7178.1806776471985</v>
      </c>
      <c r="AH12" s="373">
        <f t="shared" si="13"/>
        <v>59556.677447999995</v>
      </c>
      <c r="AI12" s="382">
        <f t="shared" si="30"/>
        <v>2680.0504851599999</v>
      </c>
      <c r="AJ12" s="373">
        <f t="shared" si="14"/>
        <v>7178.1806776471985</v>
      </c>
      <c r="AK12" s="373">
        <f t="shared" si="15"/>
        <v>69482.790355999998</v>
      </c>
      <c r="AL12" s="382">
        <f>H12*0.27</f>
        <v>2680.0504851599999</v>
      </c>
      <c r="AM12" s="373">
        <f t="shared" si="16"/>
        <v>7178.1806776471985</v>
      </c>
      <c r="AN12" s="373">
        <f t="shared" si="17"/>
        <v>79408.903263999993</v>
      </c>
      <c r="AO12" s="376">
        <f>H12*0.27</f>
        <v>2680.0504851599999</v>
      </c>
      <c r="AP12" s="373">
        <f t="shared" si="18"/>
        <v>7178.1806776471985</v>
      </c>
      <c r="AQ12" s="373">
        <f t="shared" si="19"/>
        <v>89335.016171999989</v>
      </c>
      <c r="AR12" s="377">
        <f>(AQ12-88000)*0.35+(88000-AN12)*0.27</f>
        <v>2786.8517789199977</v>
      </c>
      <c r="AS12" s="373">
        <f t="shared" si="20"/>
        <v>7071.3793838872007</v>
      </c>
      <c r="AT12" s="373">
        <f t="shared" si="21"/>
        <v>99261.129079999984</v>
      </c>
      <c r="AU12" s="383">
        <f t="shared" si="31"/>
        <v>3474.1395177999993</v>
      </c>
      <c r="AV12" s="373">
        <f t="shared" si="22"/>
        <v>6384.0916450071991</v>
      </c>
      <c r="AW12" s="373">
        <f t="shared" si="23"/>
        <v>109187.24198799999</v>
      </c>
      <c r="AX12" s="383">
        <f t="shared" si="32"/>
        <v>3474.1395177999993</v>
      </c>
      <c r="AY12" s="373">
        <f t="shared" si="24"/>
        <v>6384.0916450071991</v>
      </c>
      <c r="AZ12" s="373">
        <f t="shared" si="25"/>
        <v>119113.35489599999</v>
      </c>
      <c r="BA12" s="383">
        <f t="shared" si="36"/>
        <v>3474.1395177999993</v>
      </c>
      <c r="BB12" s="373">
        <f t="shared" si="26"/>
        <v>6384.0916450071991</v>
      </c>
      <c r="BC12" s="384"/>
      <c r="BE12" s="358"/>
    </row>
    <row r="13" spans="1:57" s="233" customFormat="1" ht="30" hidden="1" customHeight="1" x14ac:dyDescent="0.45">
      <c r="A13" s="664"/>
      <c r="B13" s="485" t="s">
        <v>235</v>
      </c>
      <c r="C13" s="231">
        <v>300</v>
      </c>
      <c r="D13" s="238">
        <v>6661</v>
      </c>
      <c r="E13" s="234">
        <v>9992.0399999999991</v>
      </c>
      <c r="F13" s="234">
        <f t="shared" si="37"/>
        <v>16653.04</v>
      </c>
      <c r="G13" s="507">
        <v>359</v>
      </c>
      <c r="H13" s="510">
        <f t="shared" si="34"/>
        <v>9275.6311040000001</v>
      </c>
      <c r="I13" s="511">
        <v>0.32</v>
      </c>
      <c r="J13" s="512">
        <v>6800</v>
      </c>
      <c r="K13" s="361">
        <f t="shared" si="27"/>
        <v>6799.7383189802667</v>
      </c>
      <c r="L13" s="390">
        <v>6799.7383189802667</v>
      </c>
      <c r="M13" s="390">
        <f t="shared" si="28"/>
        <v>0</v>
      </c>
      <c r="N13" s="390"/>
      <c r="O13" s="390">
        <f t="shared" si="0"/>
        <v>7311.5465795486734</v>
      </c>
      <c r="P13" s="390"/>
      <c r="Q13" s="513"/>
      <c r="R13" s="372">
        <f t="shared" si="1"/>
        <v>63.588565286399998</v>
      </c>
      <c r="S13" s="373">
        <f t="shared" si="2"/>
        <v>9275.6311040000001</v>
      </c>
      <c r="T13" s="378">
        <f>(S13*0.15)</f>
        <v>1391.3446655999999</v>
      </c>
      <c r="U13" s="373">
        <f t="shared" si="3"/>
        <v>7820.6978731136005</v>
      </c>
      <c r="V13" s="373">
        <f t="shared" si="4"/>
        <v>18551.262208</v>
      </c>
      <c r="W13" s="374">
        <f>(V13-10000)*0.2+(10000-S13)*0.15</f>
        <v>1818.907776</v>
      </c>
      <c r="X13" s="373">
        <f t="shared" si="5"/>
        <v>7393.1347627136001</v>
      </c>
      <c r="Y13" s="373">
        <f t="shared" si="6"/>
        <v>27826.893312</v>
      </c>
      <c r="Z13" s="376">
        <f>(Y13-25000)*0.27+(25000-V13)*0.2</f>
        <v>2053.0087526400002</v>
      </c>
      <c r="AA13" s="373">
        <f t="shared" si="7"/>
        <v>7159.0337860735999</v>
      </c>
      <c r="AB13" s="373">
        <f t="shared" si="8"/>
        <v>37102.524416</v>
      </c>
      <c r="AC13" s="376">
        <f t="shared" si="9"/>
        <v>2504.4203980800003</v>
      </c>
      <c r="AD13" s="373">
        <f t="shared" si="10"/>
        <v>6707.6221406335999</v>
      </c>
      <c r="AE13" s="373">
        <f t="shared" si="11"/>
        <v>46378.15552</v>
      </c>
      <c r="AF13" s="376">
        <f t="shared" si="29"/>
        <v>2504.4203980800003</v>
      </c>
      <c r="AG13" s="373">
        <f t="shared" si="12"/>
        <v>6707.6221406335999</v>
      </c>
      <c r="AH13" s="373">
        <f t="shared" si="13"/>
        <v>55653.786624</v>
      </c>
      <c r="AI13" s="376">
        <f t="shared" si="30"/>
        <v>2504.4203980800003</v>
      </c>
      <c r="AJ13" s="373">
        <f t="shared" si="14"/>
        <v>6707.6221406335999</v>
      </c>
      <c r="AK13" s="373">
        <f t="shared" si="15"/>
        <v>64929.417728</v>
      </c>
      <c r="AL13" s="376">
        <f>H13*0.27</f>
        <v>2504.4203980800003</v>
      </c>
      <c r="AM13" s="373">
        <f t="shared" si="16"/>
        <v>6707.6221406335999</v>
      </c>
      <c r="AN13" s="373">
        <f t="shared" si="17"/>
        <v>74205.048832</v>
      </c>
      <c r="AO13" s="376">
        <f>H13*0.27</f>
        <v>2504.4203980800003</v>
      </c>
      <c r="AP13" s="373">
        <f t="shared" si="18"/>
        <v>6707.6221406335999</v>
      </c>
      <c r="AQ13" s="373">
        <f t="shared" si="19"/>
        <v>83480.679936</v>
      </c>
      <c r="AR13" s="376">
        <f>H13*0.27</f>
        <v>2504.4203980800003</v>
      </c>
      <c r="AS13" s="373">
        <f t="shared" si="20"/>
        <v>6707.6221406335999</v>
      </c>
      <c r="AT13" s="373">
        <f t="shared" si="21"/>
        <v>92756.311040000001</v>
      </c>
      <c r="AU13" s="377">
        <f>(AT13-88000)*0.35+(88000-AQ13)*0.27</f>
        <v>2884.92528128</v>
      </c>
      <c r="AV13" s="373">
        <f t="shared" si="22"/>
        <v>6327.1172574335997</v>
      </c>
      <c r="AW13" s="373">
        <f t="shared" si="23"/>
        <v>102031.942144</v>
      </c>
      <c r="AX13" s="377">
        <f t="shared" si="32"/>
        <v>3246.4708863999999</v>
      </c>
      <c r="AY13" s="373">
        <f t="shared" si="24"/>
        <v>5965.5716523135998</v>
      </c>
      <c r="AZ13" s="373">
        <f t="shared" si="25"/>
        <v>111307.573248</v>
      </c>
      <c r="BA13" s="377">
        <f t="shared" si="36"/>
        <v>3246.4708863999999</v>
      </c>
      <c r="BB13" s="373">
        <f t="shared" si="26"/>
        <v>5965.5716523135998</v>
      </c>
      <c r="BC13" s="371"/>
      <c r="BE13" s="358"/>
    </row>
    <row r="14" spans="1:57" s="233" customFormat="1" ht="30" hidden="1" customHeight="1" x14ac:dyDescent="0.45">
      <c r="A14" s="665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37"/>
        <v>16653.04</v>
      </c>
      <c r="G14" s="507">
        <v>359</v>
      </c>
      <c r="H14" s="510">
        <f t="shared" si="34"/>
        <v>8346.371384</v>
      </c>
      <c r="I14" s="511">
        <v>0.22</v>
      </c>
      <c r="J14" s="512">
        <v>6200</v>
      </c>
      <c r="K14" s="361">
        <f t="shared" si="27"/>
        <v>6201.8526151322667</v>
      </c>
      <c r="L14" s="390">
        <v>6201.8526151322667</v>
      </c>
      <c r="M14" s="390">
        <f t="shared" si="28"/>
        <v>0</v>
      </c>
      <c r="N14" s="390"/>
      <c r="O14" s="390">
        <f t="shared" si="0"/>
        <v>6668.6587259486732</v>
      </c>
      <c r="P14" s="390"/>
      <c r="Q14" s="513"/>
      <c r="R14" s="372">
        <f t="shared" si="1"/>
        <v>57.455451134400001</v>
      </c>
      <c r="S14" s="373">
        <f t="shared" si="2"/>
        <v>8346.371384</v>
      </c>
      <c r="T14" s="378">
        <f>(S14*0.15)</f>
        <v>1251.9557075999999</v>
      </c>
      <c r="U14" s="373">
        <f t="shared" si="3"/>
        <v>7036.9602252656005</v>
      </c>
      <c r="V14" s="373">
        <f t="shared" si="4"/>
        <v>16692.742768</v>
      </c>
      <c r="W14" s="374">
        <f>(V14-10000)*0.2+(10000-S14)*0.15</f>
        <v>1586.592846</v>
      </c>
      <c r="X14" s="373">
        <f t="shared" si="5"/>
        <v>6702.323086865601</v>
      </c>
      <c r="Y14" s="373">
        <f t="shared" si="6"/>
        <v>25039.114152000002</v>
      </c>
      <c r="Z14" s="376">
        <f>(Y14-25000)*0.27+(25000-V14)*0.2</f>
        <v>1672.0122674400006</v>
      </c>
      <c r="AA14" s="373">
        <f t="shared" si="7"/>
        <v>6616.9036654255997</v>
      </c>
      <c r="AB14" s="373">
        <f t="shared" si="8"/>
        <v>33385.485536</v>
      </c>
      <c r="AC14" s="376">
        <f t="shared" si="9"/>
        <v>2253.5202736800002</v>
      </c>
      <c r="AD14" s="373">
        <f t="shared" si="10"/>
        <v>6035.3956591856004</v>
      </c>
      <c r="AE14" s="373">
        <f t="shared" si="11"/>
        <v>41731.856919999998</v>
      </c>
      <c r="AF14" s="376">
        <f t="shared" si="29"/>
        <v>2253.5202736800002</v>
      </c>
      <c r="AG14" s="373">
        <f t="shared" si="12"/>
        <v>6035.3956591856004</v>
      </c>
      <c r="AH14" s="373">
        <f t="shared" si="13"/>
        <v>50078.228304000004</v>
      </c>
      <c r="AI14" s="376">
        <f t="shared" si="30"/>
        <v>2253.5202736800002</v>
      </c>
      <c r="AJ14" s="373">
        <f t="shared" si="14"/>
        <v>6035.3956591856004</v>
      </c>
      <c r="AK14" s="373">
        <f t="shared" si="15"/>
        <v>58424.599688000002</v>
      </c>
      <c r="AL14" s="376">
        <f>H14*0.27</f>
        <v>2253.5202736800002</v>
      </c>
      <c r="AM14" s="373">
        <f t="shared" si="16"/>
        <v>6035.3956591856004</v>
      </c>
      <c r="AN14" s="373">
        <f t="shared" si="17"/>
        <v>66770.971072</v>
      </c>
      <c r="AO14" s="376">
        <f>H14*0.27</f>
        <v>2253.5202736800002</v>
      </c>
      <c r="AP14" s="373">
        <f t="shared" si="18"/>
        <v>6035.3956591856004</v>
      </c>
      <c r="AQ14" s="373">
        <f t="shared" si="19"/>
        <v>75117.342455999998</v>
      </c>
      <c r="AR14" s="376">
        <f>H14*0.27</f>
        <v>2253.5202736800002</v>
      </c>
      <c r="AS14" s="373">
        <f t="shared" si="20"/>
        <v>6035.3956591856004</v>
      </c>
      <c r="AT14" s="373">
        <f t="shared" si="21"/>
        <v>83463.713839999997</v>
      </c>
      <c r="AU14" s="376">
        <f>H14*0.27</f>
        <v>2253.5202736800002</v>
      </c>
      <c r="AV14" s="373">
        <f t="shared" si="22"/>
        <v>6035.3956591856004</v>
      </c>
      <c r="AW14" s="373">
        <f t="shared" si="23"/>
        <v>91810.085223999995</v>
      </c>
      <c r="AX14" s="377">
        <f>(AW14-88000)*0.35+(88000-AT14)*0.27</f>
        <v>2558.3270915999992</v>
      </c>
      <c r="AY14" s="373">
        <f t="shared" si="24"/>
        <v>5730.5888412656013</v>
      </c>
      <c r="AZ14" s="373">
        <f t="shared" si="25"/>
        <v>100156.45660800001</v>
      </c>
      <c r="BA14" s="377">
        <f t="shared" si="36"/>
        <v>2921.2299843999999</v>
      </c>
      <c r="BB14" s="373">
        <f t="shared" si="26"/>
        <v>5367.6859484656006</v>
      </c>
      <c r="BC14" s="371"/>
      <c r="BE14" s="358"/>
    </row>
    <row r="15" spans="1:57" s="233" customFormat="1" ht="30" hidden="1" customHeight="1" x14ac:dyDescent="0.45">
      <c r="A15" s="666" t="s">
        <v>15</v>
      </c>
      <c r="B15" s="485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37"/>
        <v>24980.1</v>
      </c>
      <c r="G15" s="507">
        <v>359</v>
      </c>
      <c r="H15" s="510">
        <f t="shared" si="34"/>
        <v>17089.100247999999</v>
      </c>
      <c r="I15" s="511">
        <v>0.67</v>
      </c>
      <c r="J15" s="512">
        <v>11900</v>
      </c>
      <c r="K15" s="361">
        <f t="shared" si="27"/>
        <v>11826.924366229863</v>
      </c>
      <c r="L15" s="390">
        <v>11826.924366229863</v>
      </c>
      <c r="M15" s="390">
        <f t="shared" si="28"/>
        <v>0</v>
      </c>
      <c r="N15" s="390"/>
      <c r="O15" s="390">
        <f t="shared" si="0"/>
        <v>12717.122974440712</v>
      </c>
      <c r="P15" s="390"/>
      <c r="Q15" s="513"/>
      <c r="R15" s="372">
        <f t="shared" si="1"/>
        <v>115.15746163679999</v>
      </c>
      <c r="S15" s="373">
        <f t="shared" si="2"/>
        <v>17089.100247999999</v>
      </c>
      <c r="T15" s="374">
        <f t="shared" si="38"/>
        <v>2917.8200495999999</v>
      </c>
      <c r="U15" s="373">
        <f t="shared" si="3"/>
        <v>14056.122736763198</v>
      </c>
      <c r="V15" s="373">
        <f t="shared" si="4"/>
        <v>34178.200495999998</v>
      </c>
      <c r="W15" s="376">
        <f>(V15-25000)*0.27+(25000-S15)*0.2</f>
        <v>4060.2940843199995</v>
      </c>
      <c r="X15" s="373">
        <f t="shared" si="5"/>
        <v>12913.648702043198</v>
      </c>
      <c r="Y15" s="373">
        <f t="shared" si="6"/>
        <v>51267.300743999993</v>
      </c>
      <c r="Z15" s="376">
        <f>H15*0.27</f>
        <v>4614.0570669600002</v>
      </c>
      <c r="AA15" s="373">
        <f t="shared" si="7"/>
        <v>12359.885719403197</v>
      </c>
      <c r="AB15" s="373">
        <f t="shared" si="8"/>
        <v>68356.400991999995</v>
      </c>
      <c r="AC15" s="376">
        <f t="shared" si="9"/>
        <v>4614.0570669600002</v>
      </c>
      <c r="AD15" s="373">
        <f t="shared" si="10"/>
        <v>12359.885719403197</v>
      </c>
      <c r="AE15" s="373">
        <f t="shared" si="11"/>
        <v>85445.501239999998</v>
      </c>
      <c r="AF15" s="376">
        <f t="shared" si="29"/>
        <v>4614.0570669600002</v>
      </c>
      <c r="AG15" s="373">
        <f t="shared" si="12"/>
        <v>12359.885719403197</v>
      </c>
      <c r="AH15" s="373">
        <f t="shared" si="13"/>
        <v>102534.60148799999</v>
      </c>
      <c r="AI15" s="377">
        <f>(AH15-88000)*0.35+(88000-AE15)*0.27</f>
        <v>5776.8251859999955</v>
      </c>
      <c r="AJ15" s="373">
        <f t="shared" si="14"/>
        <v>11197.117600363203</v>
      </c>
      <c r="AK15" s="373">
        <f t="shared" si="15"/>
        <v>119623.70173599999</v>
      </c>
      <c r="AL15" s="377">
        <f>H15*0.35</f>
        <v>5981.1850867999992</v>
      </c>
      <c r="AM15" s="373">
        <f t="shared" si="16"/>
        <v>10992.757699563197</v>
      </c>
      <c r="AN15" s="373">
        <f t="shared" si="17"/>
        <v>136712.80198399999</v>
      </c>
      <c r="AO15" s="377">
        <f>H15*0.35</f>
        <v>5981.1850867999992</v>
      </c>
      <c r="AP15" s="373">
        <f t="shared" si="18"/>
        <v>10992.757699563197</v>
      </c>
      <c r="AQ15" s="373">
        <f t="shared" si="19"/>
        <v>153801.90223199999</v>
      </c>
      <c r="AR15" s="377">
        <f>H15*0.35</f>
        <v>5981.1850867999992</v>
      </c>
      <c r="AS15" s="373">
        <f t="shared" si="20"/>
        <v>10992.757699563197</v>
      </c>
      <c r="AT15" s="373">
        <f t="shared" si="21"/>
        <v>170891.00248</v>
      </c>
      <c r="AU15" s="377">
        <f>H15*0.35</f>
        <v>5981.1850867999992</v>
      </c>
      <c r="AV15" s="373">
        <f t="shared" si="22"/>
        <v>10992.757699563197</v>
      </c>
      <c r="AW15" s="373">
        <f t="shared" si="23"/>
        <v>187980.102728</v>
      </c>
      <c r="AX15" s="377">
        <f t="shared" ref="AX15:AX22" si="40">H15*0.35</f>
        <v>5981.1850867999992</v>
      </c>
      <c r="AY15" s="373">
        <f t="shared" si="24"/>
        <v>10992.757699563197</v>
      </c>
      <c r="AZ15" s="373">
        <f t="shared" si="25"/>
        <v>205069.20297599997</v>
      </c>
      <c r="BA15" s="377">
        <f t="shared" si="36"/>
        <v>5981.1850867999992</v>
      </c>
      <c r="BB15" s="373">
        <f t="shared" si="26"/>
        <v>10992.757699563197</v>
      </c>
      <c r="BC15" s="371"/>
      <c r="BE15" s="358"/>
    </row>
    <row r="16" spans="1:57" s="233" customFormat="1" ht="30" hidden="1" customHeight="1" x14ac:dyDescent="0.45">
      <c r="A16" s="666"/>
      <c r="B16" s="485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37"/>
        <v>24980.1</v>
      </c>
      <c r="G16" s="507">
        <v>359</v>
      </c>
      <c r="H16" s="510">
        <f t="shared" si="34"/>
        <v>11141.838039999999</v>
      </c>
      <c r="I16" s="514">
        <v>0.35</v>
      </c>
      <c r="J16" s="512">
        <v>8000</v>
      </c>
      <c r="K16" s="361">
        <f t="shared" si="27"/>
        <v>8000.4558616026688</v>
      </c>
      <c r="L16" s="390">
        <v>8000.4558616026688</v>
      </c>
      <c r="M16" s="390">
        <f t="shared" si="28"/>
        <v>0</v>
      </c>
      <c r="N16" s="390"/>
      <c r="O16" s="390">
        <f t="shared" si="0"/>
        <v>8602.6407114007179</v>
      </c>
      <c r="P16" s="390"/>
      <c r="Q16" s="513"/>
      <c r="R16" s="372">
        <f t="shared" si="1"/>
        <v>75.905531063999987</v>
      </c>
      <c r="S16" s="373">
        <f t="shared" si="2"/>
        <v>11141.838039999999</v>
      </c>
      <c r="T16" s="374">
        <f t="shared" si="38"/>
        <v>1728.3676079999998</v>
      </c>
      <c r="U16" s="373">
        <f t="shared" si="3"/>
        <v>9337.5649009359986</v>
      </c>
      <c r="V16" s="373">
        <f t="shared" si="4"/>
        <v>22283.676079999997</v>
      </c>
      <c r="W16" s="374">
        <f>H16*0.2</f>
        <v>2228.367608</v>
      </c>
      <c r="X16" s="373">
        <f t="shared" si="5"/>
        <v>8837.5649009359986</v>
      </c>
      <c r="Y16" s="373">
        <f t="shared" si="6"/>
        <v>33425.514119999993</v>
      </c>
      <c r="Z16" s="376">
        <f>(Y16-25000)*0.27+(25000-V16)*0.2</f>
        <v>2818.1535963999986</v>
      </c>
      <c r="AA16" s="373">
        <f t="shared" si="7"/>
        <v>8247.7789125359996</v>
      </c>
      <c r="AB16" s="373">
        <f t="shared" si="8"/>
        <v>44567.352159999995</v>
      </c>
      <c r="AC16" s="376">
        <f t="shared" si="9"/>
        <v>3008.2962708</v>
      </c>
      <c r="AD16" s="373">
        <f t="shared" si="10"/>
        <v>8057.6362381359995</v>
      </c>
      <c r="AE16" s="373">
        <f t="shared" si="11"/>
        <v>55709.190199999997</v>
      </c>
      <c r="AF16" s="376">
        <f t="shared" si="29"/>
        <v>3008.2962708</v>
      </c>
      <c r="AG16" s="373">
        <f t="shared" si="12"/>
        <v>8057.6362381359995</v>
      </c>
      <c r="AH16" s="373">
        <f t="shared" si="13"/>
        <v>66851.028239999985</v>
      </c>
      <c r="AI16" s="376">
        <f t="shared" ref="AI16:AI26" si="41">H16*0.27</f>
        <v>3008.2962708</v>
      </c>
      <c r="AJ16" s="373">
        <f t="shared" si="14"/>
        <v>8057.6362381359995</v>
      </c>
      <c r="AK16" s="373">
        <f t="shared" si="15"/>
        <v>77992.866279999987</v>
      </c>
      <c r="AL16" s="376">
        <f>H16*0.27</f>
        <v>3008.2962708</v>
      </c>
      <c r="AM16" s="373">
        <f t="shared" si="16"/>
        <v>8057.6362381359995</v>
      </c>
      <c r="AN16" s="373">
        <f t="shared" si="17"/>
        <v>89134.70431999999</v>
      </c>
      <c r="AO16" s="377">
        <f>(AN16-88000)*0.35+(88000-AK16)*0.27</f>
        <v>3099.0726163999998</v>
      </c>
      <c r="AP16" s="373">
        <f t="shared" si="18"/>
        <v>7966.8598925359993</v>
      </c>
      <c r="AQ16" s="373">
        <f t="shared" si="19"/>
        <v>100276.54235999999</v>
      </c>
      <c r="AR16" s="377">
        <f>H16*0.35</f>
        <v>3899.6433139999995</v>
      </c>
      <c r="AS16" s="373">
        <f t="shared" si="20"/>
        <v>7166.2891949360001</v>
      </c>
      <c r="AT16" s="373">
        <f t="shared" si="21"/>
        <v>111418.38039999999</v>
      </c>
      <c r="AU16" s="377">
        <f>H16*0.35</f>
        <v>3899.6433139999995</v>
      </c>
      <c r="AV16" s="373">
        <f t="shared" si="22"/>
        <v>7166.2891949360001</v>
      </c>
      <c r="AW16" s="373">
        <f t="shared" si="23"/>
        <v>122560.21843999998</v>
      </c>
      <c r="AX16" s="377">
        <f t="shared" si="40"/>
        <v>3899.6433139999995</v>
      </c>
      <c r="AY16" s="373">
        <f t="shared" si="24"/>
        <v>7166.2891949360001</v>
      </c>
      <c r="AZ16" s="373">
        <f t="shared" si="25"/>
        <v>133702.05647999997</v>
      </c>
      <c r="BA16" s="377">
        <f t="shared" si="36"/>
        <v>3899.6433139999995</v>
      </c>
      <c r="BB16" s="373">
        <f t="shared" si="26"/>
        <v>7166.2891949360001</v>
      </c>
      <c r="BC16" s="371"/>
      <c r="BE16" s="358"/>
    </row>
    <row r="17" spans="1:57" s="233" customFormat="1" ht="30" hidden="1" customHeight="1" x14ac:dyDescent="0.45">
      <c r="A17" s="666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37"/>
        <v>24980.1</v>
      </c>
      <c r="G17" s="507">
        <v>359</v>
      </c>
      <c r="H17" s="510">
        <f t="shared" si="34"/>
        <v>9283.3185999999987</v>
      </c>
      <c r="I17" s="514">
        <v>0.25</v>
      </c>
      <c r="J17" s="512">
        <v>6804</v>
      </c>
      <c r="K17" s="361">
        <f t="shared" si="27"/>
        <v>6804.684453906666</v>
      </c>
      <c r="L17" s="390">
        <v>6804.684453906666</v>
      </c>
      <c r="M17" s="390">
        <f t="shared" si="28"/>
        <v>0</v>
      </c>
      <c r="N17" s="390"/>
      <c r="O17" s="390">
        <f t="shared" si="0"/>
        <v>7316.8650042007157</v>
      </c>
      <c r="P17" s="390"/>
      <c r="Q17" s="513"/>
      <c r="R17" s="372">
        <f t="shared" si="1"/>
        <v>63.639302759999993</v>
      </c>
      <c r="S17" s="373">
        <f t="shared" si="2"/>
        <v>9283.3185999999987</v>
      </c>
      <c r="T17" s="378">
        <f>S17*0.15</f>
        <v>1392.4977899999997</v>
      </c>
      <c r="U17" s="373">
        <f t="shared" si="3"/>
        <v>7827.1815072399986</v>
      </c>
      <c r="V17" s="373">
        <f t="shared" si="4"/>
        <v>18566.637199999997</v>
      </c>
      <c r="W17" s="374">
        <f>(V17-10000)*0.2+(10000-S17)*0.15</f>
        <v>1820.8296499999997</v>
      </c>
      <c r="X17" s="373">
        <f t="shared" si="5"/>
        <v>7398.8496472399984</v>
      </c>
      <c r="Y17" s="373">
        <f t="shared" si="6"/>
        <v>27849.955799999996</v>
      </c>
      <c r="Z17" s="376">
        <f>(Y17-25000)*0.27+(25000-V17)*0.2</f>
        <v>2056.1606259999999</v>
      </c>
      <c r="AA17" s="373">
        <f t="shared" si="7"/>
        <v>7163.5186712399982</v>
      </c>
      <c r="AB17" s="373">
        <f t="shared" si="8"/>
        <v>37133.274399999995</v>
      </c>
      <c r="AC17" s="376">
        <f t="shared" si="9"/>
        <v>2506.4960219999998</v>
      </c>
      <c r="AD17" s="373">
        <f t="shared" si="10"/>
        <v>6713.1832752399987</v>
      </c>
      <c r="AE17" s="373">
        <f t="shared" si="11"/>
        <v>46416.592999999993</v>
      </c>
      <c r="AF17" s="376">
        <f t="shared" si="29"/>
        <v>2506.4960219999998</v>
      </c>
      <c r="AG17" s="373">
        <f t="shared" si="12"/>
        <v>6713.1832752399987</v>
      </c>
      <c r="AH17" s="373">
        <f t="shared" si="13"/>
        <v>55699.911599999992</v>
      </c>
      <c r="AI17" s="376">
        <f t="shared" si="41"/>
        <v>2506.4960219999998</v>
      </c>
      <c r="AJ17" s="373">
        <f t="shared" si="14"/>
        <v>6713.1832752399987</v>
      </c>
      <c r="AK17" s="373">
        <f t="shared" si="15"/>
        <v>64983.230199999991</v>
      </c>
      <c r="AL17" s="376">
        <f>H17*0.27</f>
        <v>2506.4960219999998</v>
      </c>
      <c r="AM17" s="373">
        <f t="shared" si="16"/>
        <v>6713.1832752399987</v>
      </c>
      <c r="AN17" s="373">
        <f t="shared" si="17"/>
        <v>74266.54879999999</v>
      </c>
      <c r="AO17" s="376">
        <f>H17*0.27</f>
        <v>2506.4960219999998</v>
      </c>
      <c r="AP17" s="373">
        <f t="shared" si="18"/>
        <v>6713.1832752399987</v>
      </c>
      <c r="AQ17" s="373">
        <f t="shared" si="19"/>
        <v>83549.867399999988</v>
      </c>
      <c r="AR17" s="376">
        <f>H17*0.27</f>
        <v>2506.4960219999998</v>
      </c>
      <c r="AS17" s="373">
        <f t="shared" si="20"/>
        <v>6713.1832752399987</v>
      </c>
      <c r="AT17" s="373">
        <f t="shared" si="21"/>
        <v>92833.185999999987</v>
      </c>
      <c r="AU17" s="377">
        <f>(AT17-88000)*0.35+(88000-AQ17)*0.27</f>
        <v>2893.1509019999985</v>
      </c>
      <c r="AV17" s="373">
        <f t="shared" si="22"/>
        <v>6326.5283952399996</v>
      </c>
      <c r="AW17" s="373">
        <f t="shared" si="23"/>
        <v>102116.50459999999</v>
      </c>
      <c r="AX17" s="377">
        <f t="shared" si="40"/>
        <v>3249.1615099999995</v>
      </c>
      <c r="AY17" s="373">
        <f t="shared" si="24"/>
        <v>5970.5177872399981</v>
      </c>
      <c r="AZ17" s="373">
        <f t="shared" si="25"/>
        <v>111399.82319999998</v>
      </c>
      <c r="BA17" s="377">
        <f t="shared" si="36"/>
        <v>3249.1615099999995</v>
      </c>
      <c r="BB17" s="373">
        <f t="shared" si="26"/>
        <v>5970.5177872399981</v>
      </c>
      <c r="BC17" s="371"/>
      <c r="BE17" s="358"/>
    </row>
    <row r="18" spans="1:57" s="233" customFormat="1" ht="30" hidden="1" customHeight="1" x14ac:dyDescent="0.45">
      <c r="A18" s="666"/>
      <c r="B18" s="485" t="s">
        <v>32</v>
      </c>
      <c r="C18" s="231">
        <v>450</v>
      </c>
      <c r="D18" s="234">
        <v>4996.0199999999995</v>
      </c>
      <c r="E18" s="234">
        <v>14988.06</v>
      </c>
      <c r="F18" s="234">
        <f t="shared" si="37"/>
        <v>19984.079999999998</v>
      </c>
      <c r="G18" s="507">
        <v>359</v>
      </c>
      <c r="H18" s="510">
        <f t="shared" si="34"/>
        <v>13418.524354000001</v>
      </c>
      <c r="I18" s="511">
        <v>0.63</v>
      </c>
      <c r="J18" s="512">
        <v>9500</v>
      </c>
      <c r="K18" s="361">
        <f t="shared" si="27"/>
        <v>9465.2758360302669</v>
      </c>
      <c r="L18" s="390">
        <v>9465.2758360302669</v>
      </c>
      <c r="M18" s="390">
        <f t="shared" si="28"/>
        <v>0</v>
      </c>
      <c r="N18" s="390"/>
      <c r="O18" s="390">
        <f t="shared" si="0"/>
        <v>10177.715952720717</v>
      </c>
      <c r="P18" s="390"/>
      <c r="Q18" s="513"/>
      <c r="R18" s="372">
        <f t="shared" si="1"/>
        <v>90.931660736400005</v>
      </c>
      <c r="S18" s="373">
        <f t="shared" si="2"/>
        <v>13418.524354000001</v>
      </c>
      <c r="T18" s="374">
        <f t="shared" si="38"/>
        <v>2183.7048708000002</v>
      </c>
      <c r="U18" s="373">
        <f t="shared" si="3"/>
        <v>11143.887822463601</v>
      </c>
      <c r="V18" s="373">
        <f t="shared" si="4"/>
        <v>26837.048708000002</v>
      </c>
      <c r="W18" s="376">
        <f>(V18-25000)*0.27+(25000-S18)*0.2</f>
        <v>2812.2982803600003</v>
      </c>
      <c r="X18" s="373">
        <f t="shared" si="5"/>
        <v>10515.2944129036</v>
      </c>
      <c r="Y18" s="373">
        <f t="shared" si="6"/>
        <v>40255.573062000003</v>
      </c>
      <c r="Z18" s="376">
        <f>H18*0.27</f>
        <v>3623.0015755800005</v>
      </c>
      <c r="AA18" s="373">
        <f t="shared" si="7"/>
        <v>9704.5911176836016</v>
      </c>
      <c r="AB18" s="373">
        <f t="shared" si="8"/>
        <v>53674.097416000004</v>
      </c>
      <c r="AC18" s="376">
        <f t="shared" si="9"/>
        <v>3623.0015755800005</v>
      </c>
      <c r="AD18" s="373">
        <f t="shared" si="10"/>
        <v>9704.5911176836016</v>
      </c>
      <c r="AE18" s="373">
        <f t="shared" si="11"/>
        <v>67092.621769999998</v>
      </c>
      <c r="AF18" s="376">
        <f t="shared" si="29"/>
        <v>3623.0015755800005</v>
      </c>
      <c r="AG18" s="373">
        <f t="shared" si="12"/>
        <v>9704.5911176836016</v>
      </c>
      <c r="AH18" s="373">
        <f t="shared" si="13"/>
        <v>80511.146124000006</v>
      </c>
      <c r="AI18" s="376">
        <f t="shared" si="41"/>
        <v>3623.0015755800005</v>
      </c>
      <c r="AJ18" s="373">
        <f t="shared" si="14"/>
        <v>9704.5911176836016</v>
      </c>
      <c r="AK18" s="373">
        <f t="shared" si="15"/>
        <v>93929.670478000015</v>
      </c>
      <c r="AL18" s="377">
        <f>(AK18-88000)*0.35+(88000-AH18)*0.27</f>
        <v>4097.3752138200034</v>
      </c>
      <c r="AM18" s="373">
        <f t="shared" si="16"/>
        <v>9230.2174794435978</v>
      </c>
      <c r="AN18" s="373">
        <f t="shared" si="17"/>
        <v>107348.19483200001</v>
      </c>
      <c r="AO18" s="377">
        <f>H18*0.35</f>
        <v>4696.4835239000004</v>
      </c>
      <c r="AP18" s="373">
        <f t="shared" si="18"/>
        <v>8631.1091693636008</v>
      </c>
      <c r="AQ18" s="373">
        <f t="shared" si="19"/>
        <v>120766.719186</v>
      </c>
      <c r="AR18" s="377">
        <f>H18*0.35</f>
        <v>4696.4835239000004</v>
      </c>
      <c r="AS18" s="373">
        <f t="shared" si="20"/>
        <v>8631.1091693636008</v>
      </c>
      <c r="AT18" s="373">
        <f t="shared" si="21"/>
        <v>134185.24354</v>
      </c>
      <c r="AU18" s="377">
        <f>H18*0.35</f>
        <v>4696.4835239000004</v>
      </c>
      <c r="AV18" s="373">
        <f t="shared" si="22"/>
        <v>8631.1091693636008</v>
      </c>
      <c r="AW18" s="373">
        <f t="shared" si="23"/>
        <v>147603.76789400002</v>
      </c>
      <c r="AX18" s="377">
        <f t="shared" si="40"/>
        <v>4696.4835239000004</v>
      </c>
      <c r="AY18" s="373">
        <f t="shared" si="24"/>
        <v>8631.1091693636008</v>
      </c>
      <c r="AZ18" s="373">
        <f t="shared" si="25"/>
        <v>161022.29224800001</v>
      </c>
      <c r="BA18" s="377">
        <f t="shared" si="36"/>
        <v>4696.4835239000004</v>
      </c>
      <c r="BB18" s="373">
        <f t="shared" si="26"/>
        <v>8631.1091693636008</v>
      </c>
      <c r="BC18" s="371"/>
      <c r="BE18" s="358"/>
    </row>
    <row r="19" spans="1:57" s="233" customFormat="1" ht="30" hidden="1" customHeight="1" x14ac:dyDescent="0.45">
      <c r="A19" s="666"/>
      <c r="B19" s="485" t="s">
        <v>237</v>
      </c>
      <c r="C19" s="231">
        <v>450</v>
      </c>
      <c r="D19" s="234">
        <v>4996.0199999999995</v>
      </c>
      <c r="E19" s="234">
        <v>14988.06</v>
      </c>
      <c r="F19" s="234">
        <f t="shared" si="37"/>
        <v>19984.079999999998</v>
      </c>
      <c r="G19" s="507">
        <v>359</v>
      </c>
      <c r="H19" s="510">
        <f t="shared" si="34"/>
        <v>11606.4679</v>
      </c>
      <c r="I19" s="511">
        <v>0.5</v>
      </c>
      <c r="J19" s="512">
        <v>8300</v>
      </c>
      <c r="K19" s="361">
        <f t="shared" si="27"/>
        <v>8299.3987135266634</v>
      </c>
      <c r="L19" s="390">
        <v>8299.3987135266634</v>
      </c>
      <c r="M19" s="390">
        <f t="shared" si="28"/>
        <v>0</v>
      </c>
      <c r="N19" s="390"/>
      <c r="O19" s="390">
        <f t="shared" si="0"/>
        <v>8924.084638200713</v>
      </c>
      <c r="P19" s="390"/>
      <c r="Q19" s="513"/>
      <c r="R19" s="372">
        <f t="shared" si="1"/>
        <v>78.972088139999997</v>
      </c>
      <c r="S19" s="373">
        <f t="shared" si="2"/>
        <v>11606.4679</v>
      </c>
      <c r="T19" s="374">
        <f t="shared" si="38"/>
        <v>1821.29358</v>
      </c>
      <c r="U19" s="373">
        <f t="shared" si="3"/>
        <v>9706.2022318599993</v>
      </c>
      <c r="V19" s="373">
        <f t="shared" si="4"/>
        <v>23212.935799999999</v>
      </c>
      <c r="W19" s="374">
        <f>H19*0.2</f>
        <v>2321.29358</v>
      </c>
      <c r="X19" s="373">
        <f t="shared" si="5"/>
        <v>9206.2022318599993</v>
      </c>
      <c r="Y19" s="373">
        <f t="shared" si="6"/>
        <v>34819.403699999995</v>
      </c>
      <c r="Z19" s="376">
        <f>(Y19-25000)*0.27+(25000-V19)*0.2</f>
        <v>3008.6518389999992</v>
      </c>
      <c r="AA19" s="373">
        <f t="shared" si="7"/>
        <v>8518.8439728599988</v>
      </c>
      <c r="AB19" s="373">
        <f t="shared" si="8"/>
        <v>46425.871599999999</v>
      </c>
      <c r="AC19" s="376">
        <f t="shared" si="9"/>
        <v>3133.746333</v>
      </c>
      <c r="AD19" s="373">
        <f t="shared" si="10"/>
        <v>8393.7494788599979</v>
      </c>
      <c r="AE19" s="373">
        <f t="shared" si="11"/>
        <v>58032.339500000002</v>
      </c>
      <c r="AF19" s="376">
        <f t="shared" si="29"/>
        <v>3133.746333</v>
      </c>
      <c r="AG19" s="373">
        <f t="shared" si="12"/>
        <v>8393.7494788599979</v>
      </c>
      <c r="AH19" s="373">
        <f t="shared" si="13"/>
        <v>69638.807399999991</v>
      </c>
      <c r="AI19" s="376">
        <f t="shared" si="41"/>
        <v>3133.746333</v>
      </c>
      <c r="AJ19" s="373">
        <f t="shared" si="14"/>
        <v>8393.7494788599979</v>
      </c>
      <c r="AK19" s="373">
        <f t="shared" si="15"/>
        <v>81245.275299999994</v>
      </c>
      <c r="AL19" s="376">
        <f t="shared" ref="AL19:AL26" si="42">H19*0.27</f>
        <v>3133.746333</v>
      </c>
      <c r="AM19" s="373">
        <f t="shared" si="16"/>
        <v>8393.7494788599979</v>
      </c>
      <c r="AN19" s="373">
        <f t="shared" si="17"/>
        <v>92851.743199999997</v>
      </c>
      <c r="AO19" s="377">
        <f>(AN19-88000)*0.35+(88000-AK19)*0.27</f>
        <v>3521.8857890000008</v>
      </c>
      <c r="AP19" s="373">
        <f t="shared" si="18"/>
        <v>8005.610022859998</v>
      </c>
      <c r="AQ19" s="373">
        <f t="shared" si="19"/>
        <v>104458.2111</v>
      </c>
      <c r="AR19" s="377">
        <f>H19*0.35</f>
        <v>4062.2637649999997</v>
      </c>
      <c r="AS19" s="373">
        <f t="shared" si="20"/>
        <v>7465.2320468599992</v>
      </c>
      <c r="AT19" s="373">
        <f t="shared" si="21"/>
        <v>116064.679</v>
      </c>
      <c r="AU19" s="377">
        <f>H19*0.35</f>
        <v>4062.2637649999997</v>
      </c>
      <c r="AV19" s="373">
        <f t="shared" si="22"/>
        <v>7465.2320468599992</v>
      </c>
      <c r="AW19" s="373">
        <f t="shared" si="23"/>
        <v>127671.14689999999</v>
      </c>
      <c r="AX19" s="377">
        <f t="shared" si="40"/>
        <v>4062.2637649999997</v>
      </c>
      <c r="AY19" s="373">
        <f t="shared" si="24"/>
        <v>7465.2320468599992</v>
      </c>
      <c r="AZ19" s="373">
        <f t="shared" si="25"/>
        <v>139277.61479999998</v>
      </c>
      <c r="BA19" s="377">
        <f t="shared" si="36"/>
        <v>4062.2637649999997</v>
      </c>
      <c r="BB19" s="373">
        <f t="shared" si="26"/>
        <v>7465.2320468599992</v>
      </c>
      <c r="BC19" s="371"/>
      <c r="BE19" s="358"/>
    </row>
    <row r="20" spans="1:57" s="233" customFormat="1" ht="30" hidden="1" customHeight="1" x14ac:dyDescent="0.45">
      <c r="A20" s="666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507">
        <v>359</v>
      </c>
      <c r="H20" s="510">
        <f t="shared" si="34"/>
        <v>10026.726375999999</v>
      </c>
      <c r="I20" s="511">
        <v>0.57999999999999996</v>
      </c>
      <c r="J20" s="512">
        <v>7300</v>
      </c>
      <c r="K20" s="361">
        <f t="shared" si="27"/>
        <v>7282.9930169850659</v>
      </c>
      <c r="L20" s="390">
        <v>7282.9930169850659</v>
      </c>
      <c r="M20" s="390">
        <f t="shared" si="28"/>
        <v>0</v>
      </c>
      <c r="N20" s="390"/>
      <c r="O20" s="390">
        <f t="shared" si="0"/>
        <v>7831.1752870807159</v>
      </c>
      <c r="P20" s="390"/>
      <c r="Q20" s="513"/>
      <c r="R20" s="372">
        <f t="shared" si="1"/>
        <v>68.545794081599993</v>
      </c>
      <c r="S20" s="373">
        <f t="shared" si="2"/>
        <v>10026.726375999999</v>
      </c>
      <c r="T20" s="374">
        <f t="shared" si="38"/>
        <v>1505.3452751999998</v>
      </c>
      <c r="U20" s="373">
        <f t="shared" si="3"/>
        <v>8452.8353067183998</v>
      </c>
      <c r="V20" s="373">
        <f t="shared" si="4"/>
        <v>20053.452751999997</v>
      </c>
      <c r="W20" s="374">
        <f>H20*0.2</f>
        <v>2005.3452751999998</v>
      </c>
      <c r="X20" s="373">
        <f t="shared" si="5"/>
        <v>7952.8353067183998</v>
      </c>
      <c r="Y20" s="373">
        <f t="shared" si="6"/>
        <v>30080.179127999996</v>
      </c>
      <c r="Z20" s="376">
        <f>(Y20-25000)*0.27+(25000-V20)*0.2</f>
        <v>2360.9578141599995</v>
      </c>
      <c r="AA20" s="373">
        <f t="shared" si="7"/>
        <v>7597.2227677583996</v>
      </c>
      <c r="AB20" s="373">
        <f t="shared" si="8"/>
        <v>40106.905503999995</v>
      </c>
      <c r="AC20" s="376">
        <f t="shared" si="9"/>
        <v>2707.2161215199999</v>
      </c>
      <c r="AD20" s="373">
        <f t="shared" si="10"/>
        <v>7250.9644603983998</v>
      </c>
      <c r="AE20" s="373">
        <f t="shared" si="11"/>
        <v>50133.631879999994</v>
      </c>
      <c r="AF20" s="376">
        <f t="shared" si="29"/>
        <v>2707.2161215199999</v>
      </c>
      <c r="AG20" s="373">
        <f t="shared" si="12"/>
        <v>7250.9644603983998</v>
      </c>
      <c r="AH20" s="373">
        <f t="shared" si="13"/>
        <v>60160.358255999992</v>
      </c>
      <c r="AI20" s="376">
        <f t="shared" si="41"/>
        <v>2707.2161215199999</v>
      </c>
      <c r="AJ20" s="373">
        <f t="shared" si="14"/>
        <v>7250.9644603983998</v>
      </c>
      <c r="AK20" s="373">
        <f t="shared" si="15"/>
        <v>70187.084631999984</v>
      </c>
      <c r="AL20" s="376">
        <f t="shared" si="42"/>
        <v>2707.2161215199999</v>
      </c>
      <c r="AM20" s="373">
        <f t="shared" si="16"/>
        <v>7250.9644603983998</v>
      </c>
      <c r="AN20" s="373">
        <f t="shared" si="17"/>
        <v>80213.81100799999</v>
      </c>
      <c r="AO20" s="376">
        <f t="shared" ref="AO20:AO27" si="43">H20*0.27</f>
        <v>2707.2161215199999</v>
      </c>
      <c r="AP20" s="373">
        <f t="shared" si="18"/>
        <v>7250.9644603983998</v>
      </c>
      <c r="AQ20" s="373">
        <f t="shared" si="19"/>
        <v>90240.537383999996</v>
      </c>
      <c r="AR20" s="377">
        <f>(AQ20-88000)*0.35+(88000-AN20)*0.27</f>
        <v>2886.4591122400011</v>
      </c>
      <c r="AS20" s="373">
        <f t="shared" si="20"/>
        <v>7071.7214696783976</v>
      </c>
      <c r="AT20" s="373">
        <f t="shared" si="21"/>
        <v>100267.26375999999</v>
      </c>
      <c r="AU20" s="377">
        <f>H20*0.35</f>
        <v>3509.3542315999994</v>
      </c>
      <c r="AV20" s="373">
        <f t="shared" si="22"/>
        <v>6448.8263503183998</v>
      </c>
      <c r="AW20" s="373">
        <f t="shared" si="23"/>
        <v>110293.99013599998</v>
      </c>
      <c r="AX20" s="377">
        <f t="shared" si="40"/>
        <v>3509.3542315999994</v>
      </c>
      <c r="AY20" s="373">
        <f t="shared" si="24"/>
        <v>6448.8263503183998</v>
      </c>
      <c r="AZ20" s="373">
        <f t="shared" si="25"/>
        <v>120320.71651199998</v>
      </c>
      <c r="BA20" s="377">
        <f t="shared" si="36"/>
        <v>3509.3542315999994</v>
      </c>
      <c r="BB20" s="373">
        <f t="shared" si="26"/>
        <v>6448.8263503183998</v>
      </c>
      <c r="BC20" s="371"/>
      <c r="BE20" s="358"/>
    </row>
    <row r="21" spans="1:57" s="233" customFormat="1" ht="30" hidden="1" customHeight="1" x14ac:dyDescent="0.45">
      <c r="A21" s="666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507">
        <v>359</v>
      </c>
      <c r="H21" s="510">
        <f t="shared" si="34"/>
        <v>9747.9484599999996</v>
      </c>
      <c r="I21" s="514">
        <v>0.55000000000000004</v>
      </c>
      <c r="J21" s="512">
        <v>7100</v>
      </c>
      <c r="K21" s="361">
        <f t="shared" si="27"/>
        <v>7103.627305830666</v>
      </c>
      <c r="L21" s="390">
        <v>7103.627305830666</v>
      </c>
      <c r="M21" s="390">
        <f t="shared" si="28"/>
        <v>0</v>
      </c>
      <c r="N21" s="390"/>
      <c r="O21" s="390">
        <f t="shared" si="0"/>
        <v>7638.3089310007153</v>
      </c>
      <c r="P21" s="390"/>
      <c r="Q21" s="513"/>
      <c r="R21" s="372">
        <f t="shared" si="1"/>
        <v>66.705859836000002</v>
      </c>
      <c r="S21" s="373">
        <f t="shared" si="2"/>
        <v>9747.9484599999996</v>
      </c>
      <c r="T21" s="378">
        <f>S21*0.15</f>
        <v>1462.1922689999999</v>
      </c>
      <c r="U21" s="373">
        <f t="shared" si="3"/>
        <v>8219.0503311640005</v>
      </c>
      <c r="V21" s="373">
        <f t="shared" si="4"/>
        <v>19495.896919999999</v>
      </c>
      <c r="W21" s="374">
        <f>(V21-10000)*0.2+(10000-S21)*0.15</f>
        <v>1936.9871150000001</v>
      </c>
      <c r="X21" s="373">
        <f t="shared" si="5"/>
        <v>7744.2554851639998</v>
      </c>
      <c r="Y21" s="373">
        <f t="shared" si="6"/>
        <v>29243.845379999999</v>
      </c>
      <c r="Z21" s="376">
        <f>(Y21-25000)*0.27+(25000-V21)*0.2</f>
        <v>2246.6588686</v>
      </c>
      <c r="AA21" s="373">
        <f t="shared" si="7"/>
        <v>7434.5837315640001</v>
      </c>
      <c r="AB21" s="373">
        <f t="shared" si="8"/>
        <v>38991.793839999998</v>
      </c>
      <c r="AC21" s="376">
        <f t="shared" si="9"/>
        <v>2631.9460841999999</v>
      </c>
      <c r="AD21" s="373">
        <f t="shared" si="10"/>
        <v>7049.2965159639998</v>
      </c>
      <c r="AE21" s="373">
        <f t="shared" si="11"/>
        <v>48739.742299999998</v>
      </c>
      <c r="AF21" s="376">
        <f t="shared" si="29"/>
        <v>2631.9460841999999</v>
      </c>
      <c r="AG21" s="373">
        <f t="shared" si="12"/>
        <v>7049.2965159639998</v>
      </c>
      <c r="AH21" s="373">
        <f t="shared" si="13"/>
        <v>58487.690759999998</v>
      </c>
      <c r="AI21" s="376">
        <f t="shared" si="41"/>
        <v>2631.9460841999999</v>
      </c>
      <c r="AJ21" s="373">
        <f t="shared" si="14"/>
        <v>7049.2965159639998</v>
      </c>
      <c r="AK21" s="373">
        <f t="shared" si="15"/>
        <v>68235.639219999997</v>
      </c>
      <c r="AL21" s="376">
        <f t="shared" si="42"/>
        <v>2631.9460841999999</v>
      </c>
      <c r="AM21" s="373">
        <f t="shared" si="16"/>
        <v>7049.2965159639998</v>
      </c>
      <c r="AN21" s="373">
        <f t="shared" si="17"/>
        <v>77983.587679999997</v>
      </c>
      <c r="AO21" s="376">
        <f t="shared" si="43"/>
        <v>2631.9460841999999</v>
      </c>
      <c r="AP21" s="373">
        <f t="shared" si="18"/>
        <v>7049.2965159639998</v>
      </c>
      <c r="AQ21" s="373">
        <f t="shared" si="19"/>
        <v>87731.536139999997</v>
      </c>
      <c r="AR21" s="376">
        <f t="shared" ref="AR21:AR27" si="44">H21*0.27</f>
        <v>2631.9460841999999</v>
      </c>
      <c r="AS21" s="373">
        <f t="shared" si="20"/>
        <v>7049.2965159639998</v>
      </c>
      <c r="AT21" s="373">
        <f t="shared" si="21"/>
        <v>97479.484599999996</v>
      </c>
      <c r="AU21" s="377">
        <f>(AT21-88000)*0.35+(88000-AQ21)*0.27</f>
        <v>3390.3048521999995</v>
      </c>
      <c r="AV21" s="373">
        <f t="shared" si="22"/>
        <v>6290.9377479640007</v>
      </c>
      <c r="AW21" s="373">
        <f t="shared" si="23"/>
        <v>107227.43306</v>
      </c>
      <c r="AX21" s="377">
        <f t="shared" si="40"/>
        <v>3411.7819609999997</v>
      </c>
      <c r="AY21" s="373">
        <f t="shared" si="24"/>
        <v>6269.460639164</v>
      </c>
      <c r="AZ21" s="373">
        <f t="shared" si="25"/>
        <v>116975.38152</v>
      </c>
      <c r="BA21" s="377">
        <f t="shared" si="36"/>
        <v>3411.7819609999997</v>
      </c>
      <c r="BB21" s="373">
        <f t="shared" si="26"/>
        <v>6269.460639164</v>
      </c>
      <c r="BC21" s="371"/>
      <c r="BE21" s="358"/>
    </row>
    <row r="22" spans="1:57" s="233" customFormat="1" ht="30" hidden="1" customHeight="1" x14ac:dyDescent="0.45">
      <c r="A22" s="666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507">
        <v>359</v>
      </c>
      <c r="H22" s="510">
        <f t="shared" si="34"/>
        <v>9376.2445719999996</v>
      </c>
      <c r="I22" s="511">
        <v>0.51</v>
      </c>
      <c r="J22" s="512">
        <v>6900</v>
      </c>
      <c r="K22" s="361">
        <f t="shared" si="27"/>
        <v>6864.4730242914638</v>
      </c>
      <c r="L22" s="390">
        <v>6864.4730242914638</v>
      </c>
      <c r="M22" s="390">
        <f t="shared" si="28"/>
        <v>0</v>
      </c>
      <c r="N22" s="390"/>
      <c r="O22" s="390">
        <f t="shared" si="0"/>
        <v>7381.1537895607134</v>
      </c>
      <c r="P22" s="390"/>
      <c r="Q22" s="513"/>
      <c r="R22" s="372">
        <f t="shared" si="1"/>
        <v>64.252614175199994</v>
      </c>
      <c r="S22" s="373">
        <f t="shared" si="2"/>
        <v>9376.2445719999996</v>
      </c>
      <c r="T22" s="378">
        <f>S22*0.15</f>
        <v>1406.4366857999999</v>
      </c>
      <c r="U22" s="373">
        <f t="shared" si="3"/>
        <v>7905.5552720247997</v>
      </c>
      <c r="V22" s="373">
        <f t="shared" si="4"/>
        <v>18752.489143999999</v>
      </c>
      <c r="W22" s="374">
        <f>(V22-10000)*0.2+(10000-S22)*0.15</f>
        <v>1844.0611430000001</v>
      </c>
      <c r="X22" s="373">
        <f t="shared" si="5"/>
        <v>7467.9308148247992</v>
      </c>
      <c r="Y22" s="373">
        <f t="shared" si="6"/>
        <v>28128.733715999999</v>
      </c>
      <c r="Z22" s="376">
        <f>(Y22-25000)*0.27+(25000-V22)*0.2</f>
        <v>2094.2602745200002</v>
      </c>
      <c r="AA22" s="373">
        <f t="shared" si="7"/>
        <v>7217.7316833047989</v>
      </c>
      <c r="AB22" s="373">
        <f t="shared" si="8"/>
        <v>37504.978287999998</v>
      </c>
      <c r="AC22" s="376">
        <f t="shared" si="9"/>
        <v>2531.5860344400003</v>
      </c>
      <c r="AD22" s="373">
        <f t="shared" si="10"/>
        <v>6780.4059233847984</v>
      </c>
      <c r="AE22" s="373">
        <f t="shared" si="11"/>
        <v>46881.222859999994</v>
      </c>
      <c r="AF22" s="376">
        <f t="shared" si="29"/>
        <v>2531.5860344400003</v>
      </c>
      <c r="AG22" s="373">
        <f t="shared" si="12"/>
        <v>6780.4059233847984</v>
      </c>
      <c r="AH22" s="373">
        <f t="shared" si="13"/>
        <v>56257.467431999998</v>
      </c>
      <c r="AI22" s="376">
        <f t="shared" si="41"/>
        <v>2531.5860344400003</v>
      </c>
      <c r="AJ22" s="373">
        <f t="shared" si="14"/>
        <v>6780.4059233847984</v>
      </c>
      <c r="AK22" s="373">
        <f t="shared" si="15"/>
        <v>65633.712004000001</v>
      </c>
      <c r="AL22" s="376">
        <f t="shared" si="42"/>
        <v>2531.5860344400003</v>
      </c>
      <c r="AM22" s="373">
        <f t="shared" si="16"/>
        <v>6780.4059233847984</v>
      </c>
      <c r="AN22" s="373">
        <f t="shared" si="17"/>
        <v>75009.956575999997</v>
      </c>
      <c r="AO22" s="376">
        <f t="shared" si="43"/>
        <v>2531.5860344400003</v>
      </c>
      <c r="AP22" s="373">
        <f t="shared" si="18"/>
        <v>6780.4059233847984</v>
      </c>
      <c r="AQ22" s="373">
        <f t="shared" si="19"/>
        <v>84386.201147999993</v>
      </c>
      <c r="AR22" s="376">
        <f t="shared" si="44"/>
        <v>2531.5860344400003</v>
      </c>
      <c r="AS22" s="373">
        <f t="shared" si="20"/>
        <v>6780.4059233847984</v>
      </c>
      <c r="AT22" s="373">
        <f t="shared" si="21"/>
        <v>93762.445719999989</v>
      </c>
      <c r="AU22" s="377">
        <f>(AT22-88000)*0.35+(88000-AQ22)*0.27</f>
        <v>2992.581692039998</v>
      </c>
      <c r="AV22" s="373">
        <f t="shared" si="22"/>
        <v>6319.4102657848016</v>
      </c>
      <c r="AW22" s="373">
        <f t="shared" si="23"/>
        <v>103138.690292</v>
      </c>
      <c r="AX22" s="377">
        <f t="shared" si="40"/>
        <v>3281.6856001999995</v>
      </c>
      <c r="AY22" s="373">
        <f t="shared" si="24"/>
        <v>6030.3063576247996</v>
      </c>
      <c r="AZ22" s="373">
        <f t="shared" si="25"/>
        <v>112514.934864</v>
      </c>
      <c r="BA22" s="377">
        <f t="shared" si="36"/>
        <v>3281.6856001999995</v>
      </c>
      <c r="BB22" s="373">
        <f t="shared" si="26"/>
        <v>6030.3063576247996</v>
      </c>
      <c r="BC22" s="371"/>
      <c r="BE22" s="358"/>
    </row>
    <row r="23" spans="1:57" s="233" customFormat="1" ht="30" hidden="1" customHeight="1" x14ac:dyDescent="0.45">
      <c r="A23" s="666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507">
        <v>359</v>
      </c>
      <c r="H23" s="510">
        <f t="shared" si="34"/>
        <v>6309.6874959999996</v>
      </c>
      <c r="I23" s="515">
        <v>0.18</v>
      </c>
      <c r="J23" s="512">
        <v>4900</v>
      </c>
      <c r="K23" s="361">
        <f t="shared" si="27"/>
        <v>4809.5585346064008</v>
      </c>
      <c r="L23" s="390">
        <v>4809.5585346064008</v>
      </c>
      <c r="M23" s="390">
        <f t="shared" si="28"/>
        <v>0</v>
      </c>
      <c r="N23" s="390"/>
      <c r="O23" s="390">
        <f t="shared" si="0"/>
        <v>5171.5683167810757</v>
      </c>
      <c r="P23" s="390"/>
      <c r="Q23" s="513"/>
      <c r="R23" s="372">
        <f t="shared" si="1"/>
        <v>44.013337473599996</v>
      </c>
      <c r="S23" s="373">
        <f t="shared" si="2"/>
        <v>6309.6874959999996</v>
      </c>
      <c r="T23" s="378">
        <f>S23*0.15</f>
        <v>946.45312439999987</v>
      </c>
      <c r="U23" s="373">
        <f t="shared" si="3"/>
        <v>5319.2210341263999</v>
      </c>
      <c r="V23" s="373">
        <f t="shared" si="4"/>
        <v>12619.374991999999</v>
      </c>
      <c r="W23" s="374">
        <f>(V23-10000)*0.2+(10000-S23)*0.15</f>
        <v>1077.4218739999999</v>
      </c>
      <c r="X23" s="373">
        <f t="shared" si="5"/>
        <v>5188.2522845264002</v>
      </c>
      <c r="Y23" s="373">
        <f t="shared" si="6"/>
        <v>18929.062488</v>
      </c>
      <c r="Z23" s="374">
        <f>H23*0.2</f>
        <v>1261.9374992</v>
      </c>
      <c r="AA23" s="373">
        <f t="shared" si="7"/>
        <v>5003.7366593263996</v>
      </c>
      <c r="AB23" s="373">
        <f t="shared" si="8"/>
        <v>25238.749983999998</v>
      </c>
      <c r="AC23" s="376">
        <f>(AB23-25000)*0.27+(25000-Y23)*0.2</f>
        <v>1278.6499980799997</v>
      </c>
      <c r="AD23" s="373">
        <f t="shared" si="10"/>
        <v>4987.0241604463999</v>
      </c>
      <c r="AE23" s="373">
        <f t="shared" si="11"/>
        <v>31548.437479999997</v>
      </c>
      <c r="AF23" s="376">
        <f t="shared" si="29"/>
        <v>1703.61562392</v>
      </c>
      <c r="AG23" s="373">
        <f t="shared" si="12"/>
        <v>4562.0585346063999</v>
      </c>
      <c r="AH23" s="373">
        <f t="shared" si="13"/>
        <v>37858.124975999999</v>
      </c>
      <c r="AI23" s="376">
        <f t="shared" si="41"/>
        <v>1703.61562392</v>
      </c>
      <c r="AJ23" s="373">
        <f t="shared" si="14"/>
        <v>4562.0585346063999</v>
      </c>
      <c r="AK23" s="373">
        <f t="shared" si="15"/>
        <v>44167.812471999998</v>
      </c>
      <c r="AL23" s="376">
        <f t="shared" si="42"/>
        <v>1703.61562392</v>
      </c>
      <c r="AM23" s="373">
        <f t="shared" si="16"/>
        <v>4562.0585346063999</v>
      </c>
      <c r="AN23" s="373">
        <f t="shared" si="17"/>
        <v>50477.499967999996</v>
      </c>
      <c r="AO23" s="376">
        <f t="shared" si="43"/>
        <v>1703.61562392</v>
      </c>
      <c r="AP23" s="373">
        <f t="shared" si="18"/>
        <v>4562.0585346063999</v>
      </c>
      <c r="AQ23" s="373">
        <f t="shared" si="19"/>
        <v>56787.187463999995</v>
      </c>
      <c r="AR23" s="376">
        <f t="shared" si="44"/>
        <v>1703.61562392</v>
      </c>
      <c r="AS23" s="373">
        <f t="shared" si="20"/>
        <v>4562.0585346063999</v>
      </c>
      <c r="AT23" s="373">
        <f t="shared" si="21"/>
        <v>63096.874959999994</v>
      </c>
      <c r="AU23" s="376">
        <f>H23*0.27</f>
        <v>1703.61562392</v>
      </c>
      <c r="AV23" s="373">
        <f t="shared" si="22"/>
        <v>4562.0585346063999</v>
      </c>
      <c r="AW23" s="373">
        <f t="shared" si="23"/>
        <v>69406.562456</v>
      </c>
      <c r="AX23" s="376">
        <f>H23*0.27</f>
        <v>1703.61562392</v>
      </c>
      <c r="AY23" s="373">
        <f t="shared" si="24"/>
        <v>4562.0585346063999</v>
      </c>
      <c r="AZ23" s="373">
        <f t="shared" si="25"/>
        <v>75716.249951999998</v>
      </c>
      <c r="BA23" s="376">
        <f>H23*0.27</f>
        <v>1703.61562392</v>
      </c>
      <c r="BB23" s="373">
        <f t="shared" si="26"/>
        <v>4562.0585346063999</v>
      </c>
      <c r="BC23" s="371"/>
      <c r="BE23" s="358"/>
    </row>
    <row r="24" spans="1:57" s="233" customFormat="1" ht="30" hidden="1" customHeight="1" x14ac:dyDescent="0.45">
      <c r="A24" s="672" t="s">
        <v>172</v>
      </c>
      <c r="B24" s="348" t="s">
        <v>282</v>
      </c>
      <c r="C24" s="317">
        <v>125</v>
      </c>
      <c r="D24" s="238">
        <v>3330.68</v>
      </c>
      <c r="E24" s="238">
        <v>4163.3499999999995</v>
      </c>
      <c r="F24" s="238">
        <f t="shared" ref="F24:F27" si="45">D24+E24</f>
        <v>7494.0299999999988</v>
      </c>
      <c r="G24" s="507">
        <v>359</v>
      </c>
      <c r="H24" s="510">
        <f t="shared" si="34"/>
        <v>6495.1231049999997</v>
      </c>
      <c r="I24" s="511">
        <v>0.91</v>
      </c>
      <c r="J24" s="512">
        <v>5000</v>
      </c>
      <c r="K24" s="361">
        <f t="shared" si="27"/>
        <v>4943.7026541570003</v>
      </c>
      <c r="L24" s="390">
        <v>4943.7026541570003</v>
      </c>
      <c r="M24" s="390">
        <f t="shared" si="28"/>
        <v>0</v>
      </c>
      <c r="N24" s="390"/>
      <c r="O24" s="390">
        <f t="shared" si="0"/>
        <v>5315.8093055451618</v>
      </c>
      <c r="P24" s="390"/>
      <c r="Q24" s="513"/>
      <c r="R24" s="372">
        <f t="shared" si="1"/>
        <v>45.237212492999994</v>
      </c>
      <c r="S24" s="373">
        <f t="shared" si="2"/>
        <v>6495.1231049999997</v>
      </c>
      <c r="T24" s="378">
        <f t="shared" ref="T24:T28" si="46">S24*0.15</f>
        <v>974.2684657499999</v>
      </c>
      <c r="U24" s="373">
        <f t="shared" si="3"/>
        <v>5475.6174267570004</v>
      </c>
      <c r="V24" s="373">
        <f t="shared" si="4"/>
        <v>12990.246209999999</v>
      </c>
      <c r="W24" s="374">
        <f>(V24-10000)*0.2+(10000-S24)*0.15</f>
        <v>1123.7807762499999</v>
      </c>
      <c r="X24" s="373">
        <f t="shared" si="5"/>
        <v>5326.1051162570002</v>
      </c>
      <c r="Y24" s="373">
        <f t="shared" si="6"/>
        <v>19485.369315</v>
      </c>
      <c r="Z24" s="374">
        <f>H24*0.2</f>
        <v>1299.024621</v>
      </c>
      <c r="AA24" s="373">
        <f t="shared" si="7"/>
        <v>5150.8612715069994</v>
      </c>
      <c r="AB24" s="373">
        <f t="shared" si="8"/>
        <v>25980.492419999999</v>
      </c>
      <c r="AC24" s="376">
        <f>(AB24-25000)*0.27+(25000-Y24)*0.2</f>
        <v>1367.6590903999997</v>
      </c>
      <c r="AD24" s="373">
        <f t="shared" si="10"/>
        <v>5082.2268021070004</v>
      </c>
      <c r="AE24" s="373">
        <f t="shared" si="11"/>
        <v>32475.615524999997</v>
      </c>
      <c r="AF24" s="376">
        <f t="shared" si="29"/>
        <v>1753.68323835</v>
      </c>
      <c r="AG24" s="373">
        <f t="shared" si="12"/>
        <v>4696.2026541569994</v>
      </c>
      <c r="AH24" s="373">
        <f t="shared" si="13"/>
        <v>38970.73863</v>
      </c>
      <c r="AI24" s="376">
        <f t="shared" si="41"/>
        <v>1753.68323835</v>
      </c>
      <c r="AJ24" s="373">
        <f t="shared" si="14"/>
        <v>4696.2026541569994</v>
      </c>
      <c r="AK24" s="373">
        <f t="shared" si="15"/>
        <v>45465.861734999999</v>
      </c>
      <c r="AL24" s="376">
        <f t="shared" si="42"/>
        <v>1753.68323835</v>
      </c>
      <c r="AM24" s="373">
        <f t="shared" si="16"/>
        <v>4696.2026541569994</v>
      </c>
      <c r="AN24" s="373">
        <f t="shared" si="17"/>
        <v>51960.984839999997</v>
      </c>
      <c r="AO24" s="376">
        <f t="shared" si="43"/>
        <v>1753.68323835</v>
      </c>
      <c r="AP24" s="373">
        <f t="shared" si="18"/>
        <v>4696.2026541569994</v>
      </c>
      <c r="AQ24" s="373">
        <f t="shared" si="19"/>
        <v>58456.107944999996</v>
      </c>
      <c r="AR24" s="376">
        <f t="shared" si="44"/>
        <v>1753.68323835</v>
      </c>
      <c r="AS24" s="373">
        <f t="shared" si="20"/>
        <v>4696.2026541569994</v>
      </c>
      <c r="AT24" s="373">
        <f t="shared" si="21"/>
        <v>64951.231049999995</v>
      </c>
      <c r="AU24" s="376">
        <f>H24*0.27</f>
        <v>1753.68323835</v>
      </c>
      <c r="AV24" s="373">
        <f t="shared" si="22"/>
        <v>4696.2026541569994</v>
      </c>
      <c r="AW24" s="373">
        <f t="shared" si="23"/>
        <v>71446.354154999994</v>
      </c>
      <c r="AX24" s="376">
        <f>H24*0.27</f>
        <v>1753.68323835</v>
      </c>
      <c r="AY24" s="373">
        <f t="shared" si="24"/>
        <v>4696.2026541569994</v>
      </c>
      <c r="AZ24" s="373">
        <f t="shared" si="25"/>
        <v>77941.47726</v>
      </c>
      <c r="BA24" s="376">
        <f>H24*0.27</f>
        <v>1753.68323835</v>
      </c>
      <c r="BB24" s="373">
        <f t="shared" si="26"/>
        <v>4696.2026541569994</v>
      </c>
      <c r="BC24" s="371"/>
      <c r="BE24" s="358"/>
    </row>
    <row r="25" spans="1:57" s="233" customFormat="1" ht="30" hidden="1" customHeight="1" x14ac:dyDescent="0.45">
      <c r="A25" s="673"/>
      <c r="B25" s="348" t="s">
        <v>281</v>
      </c>
      <c r="C25" s="317">
        <v>125</v>
      </c>
      <c r="D25" s="238">
        <v>3330.68</v>
      </c>
      <c r="E25" s="238">
        <v>4163.3499999999995</v>
      </c>
      <c r="F25" s="238">
        <f t="shared" si="45"/>
        <v>7494.0299999999988</v>
      </c>
      <c r="G25" s="507">
        <v>359</v>
      </c>
      <c r="H25" s="510">
        <f t="shared" si="34"/>
        <v>5798.1783149999992</v>
      </c>
      <c r="I25" s="514">
        <v>0.73</v>
      </c>
      <c r="J25" s="512">
        <v>4500</v>
      </c>
      <c r="K25" s="361">
        <f>((U25+X25+AA25+AD25+AG25+AJ25+AM25+AP25+AS25+AV25+AY25+BB25)/12)+60</f>
        <v>4439.5327930709982</v>
      </c>
      <c r="L25" s="390">
        <v>4497.2282059364989</v>
      </c>
      <c r="M25" s="390">
        <f t="shared" si="28"/>
        <v>57.695412865500657</v>
      </c>
      <c r="N25" s="390"/>
      <c r="O25" s="390">
        <f t="shared" si="0"/>
        <v>4773.6911753451595</v>
      </c>
      <c r="P25" s="390"/>
      <c r="Q25" s="513"/>
      <c r="R25" s="372">
        <f t="shared" si="1"/>
        <v>40.637376878999994</v>
      </c>
      <c r="S25" s="373">
        <f t="shared" si="2"/>
        <v>5798.1783149999992</v>
      </c>
      <c r="T25" s="378">
        <f t="shared" si="46"/>
        <v>869.7267472499999</v>
      </c>
      <c r="U25" s="373">
        <f t="shared" si="3"/>
        <v>4887.8141908709995</v>
      </c>
      <c r="V25" s="373">
        <f t="shared" si="4"/>
        <v>11596.356629999998</v>
      </c>
      <c r="W25" s="374">
        <f>(V25-10000)*0.2+(10000-S25)*0.15</f>
        <v>949.5445787499998</v>
      </c>
      <c r="X25" s="373">
        <f t="shared" si="5"/>
        <v>4807.9963593709999</v>
      </c>
      <c r="Y25" s="373">
        <f t="shared" si="6"/>
        <v>17394.534944999999</v>
      </c>
      <c r="Z25" s="374">
        <f>H25*0.2</f>
        <v>1159.6356629999998</v>
      </c>
      <c r="AA25" s="373">
        <f t="shared" si="7"/>
        <v>4597.9052751209992</v>
      </c>
      <c r="AB25" s="373">
        <f t="shared" si="8"/>
        <v>23192.713259999997</v>
      </c>
      <c r="AC25" s="374">
        <f>H25*0.2</f>
        <v>1159.6356629999998</v>
      </c>
      <c r="AD25" s="373">
        <f t="shared" si="10"/>
        <v>4597.9052751209992</v>
      </c>
      <c r="AE25" s="373">
        <f t="shared" si="11"/>
        <v>28990.891574999994</v>
      </c>
      <c r="AF25" s="376">
        <f>(AE25-25000)*0.27+(25000-AB25)*0.2</f>
        <v>1438.9980732499992</v>
      </c>
      <c r="AG25" s="373">
        <f t="shared" si="12"/>
        <v>4318.5428648710003</v>
      </c>
      <c r="AH25" s="373">
        <f t="shared" si="13"/>
        <v>34789.069889999999</v>
      </c>
      <c r="AI25" s="376">
        <f t="shared" si="41"/>
        <v>1565.5081450499999</v>
      </c>
      <c r="AJ25" s="373">
        <f t="shared" si="14"/>
        <v>4192.0327930709991</v>
      </c>
      <c r="AK25" s="373">
        <f t="shared" si="15"/>
        <v>40587.248204999996</v>
      </c>
      <c r="AL25" s="376">
        <f t="shared" si="42"/>
        <v>1565.5081450499999</v>
      </c>
      <c r="AM25" s="373">
        <f t="shared" si="16"/>
        <v>4192.0327930709991</v>
      </c>
      <c r="AN25" s="373">
        <f t="shared" si="17"/>
        <v>46385.426519999994</v>
      </c>
      <c r="AO25" s="376">
        <f t="shared" si="43"/>
        <v>1565.5081450499999</v>
      </c>
      <c r="AP25" s="373">
        <f t="shared" si="18"/>
        <v>4192.0327930709991</v>
      </c>
      <c r="AQ25" s="373">
        <f t="shared" si="19"/>
        <v>52183.604834999991</v>
      </c>
      <c r="AR25" s="376">
        <f t="shared" si="44"/>
        <v>1565.5081450499999</v>
      </c>
      <c r="AS25" s="373">
        <f t="shared" si="20"/>
        <v>4192.0327930709991</v>
      </c>
      <c r="AT25" s="373">
        <f t="shared" si="21"/>
        <v>57981.783149999988</v>
      </c>
      <c r="AU25" s="376">
        <f>H25*0.27</f>
        <v>1565.5081450499999</v>
      </c>
      <c r="AV25" s="373">
        <f t="shared" si="22"/>
        <v>4192.0327930709991</v>
      </c>
      <c r="AW25" s="373">
        <f t="shared" si="23"/>
        <v>63779.961464999993</v>
      </c>
      <c r="AX25" s="376">
        <f>H25*0.27</f>
        <v>1565.5081450499999</v>
      </c>
      <c r="AY25" s="373">
        <f t="shared" si="24"/>
        <v>4192.0327930709991</v>
      </c>
      <c r="AZ25" s="373">
        <f t="shared" si="25"/>
        <v>69578.139779999998</v>
      </c>
      <c r="BA25" s="376">
        <f>H25*0.27</f>
        <v>1565.5081450499999</v>
      </c>
      <c r="BB25" s="373">
        <f t="shared" si="26"/>
        <v>4192.0327930709991</v>
      </c>
      <c r="BC25" s="371"/>
      <c r="BE25" s="358"/>
    </row>
    <row r="26" spans="1:57" s="233" customFormat="1" ht="30" hidden="1" customHeight="1" x14ac:dyDescent="0.45">
      <c r="A26" s="673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45"/>
        <v>7494.0299999999988</v>
      </c>
      <c r="G26" s="507">
        <v>278</v>
      </c>
      <c r="H26" s="510">
        <f>D26+E26*$H$5*$I26-G26</f>
        <v>5066.0760599999994</v>
      </c>
      <c r="I26" s="516">
        <v>0.52</v>
      </c>
      <c r="J26" s="512">
        <v>4000</v>
      </c>
      <c r="K26" s="361">
        <f t="shared" si="27"/>
        <v>3910.4646218039993</v>
      </c>
      <c r="L26" s="390">
        <v>3910.4646218039993</v>
      </c>
      <c r="M26" s="390">
        <f t="shared" si="28"/>
        <v>0</v>
      </c>
      <c r="N26" s="390"/>
      <c r="O26" s="390">
        <f t="shared" si="0"/>
        <v>4204.8006686064509</v>
      </c>
      <c r="P26" s="390"/>
      <c r="Q26" s="513"/>
      <c r="R26" s="372">
        <f t="shared" si="1"/>
        <v>35.270901995999999</v>
      </c>
      <c r="S26" s="373">
        <f t="shared" si="2"/>
        <v>5066.0760599999994</v>
      </c>
      <c r="T26" s="378">
        <f t="shared" si="46"/>
        <v>759.91140899999994</v>
      </c>
      <c r="U26" s="373">
        <f t="shared" si="3"/>
        <v>4270.8937490039989</v>
      </c>
      <c r="V26" s="373">
        <f t="shared" si="4"/>
        <v>10132.152119999999</v>
      </c>
      <c r="W26" s="374">
        <f t="shared" ref="W26" si="47">(V26-10000)*0.2+(10000-S26)*0.15</f>
        <v>766.51901499999985</v>
      </c>
      <c r="X26" s="373">
        <f t="shared" si="5"/>
        <v>4264.2861430039993</v>
      </c>
      <c r="Y26" s="373">
        <f t="shared" si="6"/>
        <v>15198.228179999998</v>
      </c>
      <c r="Z26" s="374">
        <f>H26*0.2</f>
        <v>1013.215212</v>
      </c>
      <c r="AA26" s="373">
        <f t="shared" si="7"/>
        <v>4017.5899460039991</v>
      </c>
      <c r="AB26" s="373">
        <f t="shared" si="8"/>
        <v>20264.304239999998</v>
      </c>
      <c r="AC26" s="374">
        <f>H26*0.2</f>
        <v>1013.215212</v>
      </c>
      <c r="AD26" s="373">
        <f t="shared" si="10"/>
        <v>4017.5899460039991</v>
      </c>
      <c r="AE26" s="373">
        <f t="shared" si="11"/>
        <v>25330.380299999997</v>
      </c>
      <c r="AF26" s="376">
        <f>(AE26-25000)*0.27+(25000-AB26)*0.2</f>
        <v>1036.3418329999997</v>
      </c>
      <c r="AG26" s="373">
        <f t="shared" si="12"/>
        <v>3994.4633250039997</v>
      </c>
      <c r="AH26" s="373">
        <f t="shared" si="13"/>
        <v>30396.456359999996</v>
      </c>
      <c r="AI26" s="376">
        <f t="shared" si="41"/>
        <v>1367.8405361999999</v>
      </c>
      <c r="AJ26" s="373">
        <f t="shared" si="14"/>
        <v>3662.9646218039993</v>
      </c>
      <c r="AK26" s="373">
        <f t="shared" si="15"/>
        <v>35462.532419999996</v>
      </c>
      <c r="AL26" s="376">
        <f t="shared" si="42"/>
        <v>1367.8405361999999</v>
      </c>
      <c r="AM26" s="373">
        <f t="shared" si="16"/>
        <v>3662.9646218039993</v>
      </c>
      <c r="AN26" s="373">
        <f t="shared" si="17"/>
        <v>40528.608479999995</v>
      </c>
      <c r="AO26" s="376">
        <f t="shared" si="43"/>
        <v>1367.8405361999999</v>
      </c>
      <c r="AP26" s="373">
        <f t="shared" si="18"/>
        <v>3662.9646218039993</v>
      </c>
      <c r="AQ26" s="373">
        <f t="shared" si="19"/>
        <v>45594.684539999995</v>
      </c>
      <c r="AR26" s="376">
        <f t="shared" si="44"/>
        <v>1367.8405361999999</v>
      </c>
      <c r="AS26" s="373">
        <f t="shared" si="20"/>
        <v>3662.9646218039993</v>
      </c>
      <c r="AT26" s="373">
        <f t="shared" si="21"/>
        <v>50660.760599999994</v>
      </c>
      <c r="AU26" s="376">
        <f>H26*0.27</f>
        <v>1367.8405361999999</v>
      </c>
      <c r="AV26" s="373">
        <f t="shared" si="22"/>
        <v>3662.9646218039993</v>
      </c>
      <c r="AW26" s="373">
        <f t="shared" si="23"/>
        <v>55726.836659999994</v>
      </c>
      <c r="AX26" s="376">
        <f>H26*0.27</f>
        <v>1367.8405361999999</v>
      </c>
      <c r="AY26" s="373">
        <f t="shared" si="24"/>
        <v>3662.9646218039993</v>
      </c>
      <c r="AZ26" s="373">
        <f t="shared" si="25"/>
        <v>60792.912719999993</v>
      </c>
      <c r="BA26" s="376">
        <f>H26*0.27</f>
        <v>1367.8405361999999</v>
      </c>
      <c r="BB26" s="373">
        <f t="shared" si="26"/>
        <v>3662.9646218039993</v>
      </c>
      <c r="BC26" s="371"/>
      <c r="BE26" s="358"/>
    </row>
    <row r="27" spans="1:57" s="233" customFormat="1" ht="30" hidden="1" customHeight="1" x14ac:dyDescent="0.45">
      <c r="A27" s="674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45"/>
        <v>7494.0299999999988</v>
      </c>
      <c r="G27" s="507">
        <v>278</v>
      </c>
      <c r="H27" s="510">
        <f t="shared" si="34"/>
        <v>3749.6247899999998</v>
      </c>
      <c r="I27" s="516">
        <v>0.18</v>
      </c>
      <c r="J27" s="512">
        <v>3000</v>
      </c>
      <c r="K27" s="361">
        <f t="shared" si="27"/>
        <v>2958.1437730859993</v>
      </c>
      <c r="L27" s="390">
        <v>2958.1437730859993</v>
      </c>
      <c r="M27" s="390">
        <f t="shared" si="28"/>
        <v>0</v>
      </c>
      <c r="N27" s="390"/>
      <c r="O27" s="390">
        <f t="shared" si="0"/>
        <v>3180.7997560064509</v>
      </c>
      <c r="P27" s="390"/>
      <c r="Q27" s="513"/>
      <c r="R27" s="372">
        <f t="shared" si="1"/>
        <v>26.582323614</v>
      </c>
      <c r="S27" s="373">
        <f t="shared" si="2"/>
        <v>3749.6247899999998</v>
      </c>
      <c r="T27" s="378">
        <f t="shared" si="46"/>
        <v>562.44371849999993</v>
      </c>
      <c r="U27" s="373">
        <f t="shared" si="3"/>
        <v>3160.5987478859997</v>
      </c>
      <c r="V27" s="373">
        <f t="shared" si="4"/>
        <v>7499.2495799999997</v>
      </c>
      <c r="W27" s="378">
        <f>H27*0.15</f>
        <v>562.44371849999993</v>
      </c>
      <c r="X27" s="373">
        <f t="shared" si="5"/>
        <v>3160.5987478859997</v>
      </c>
      <c r="Y27" s="373">
        <f t="shared" si="6"/>
        <v>11248.87437</v>
      </c>
      <c r="Z27" s="374">
        <f>(Y27-10000)*0.2+(10000-V27)*0.15</f>
        <v>624.88743699999998</v>
      </c>
      <c r="AA27" s="373">
        <f t="shared" si="7"/>
        <v>3098.155029386</v>
      </c>
      <c r="AB27" s="373">
        <f t="shared" si="8"/>
        <v>14998.499159999999</v>
      </c>
      <c r="AC27" s="374">
        <f>H27*0.2</f>
        <v>749.92495800000006</v>
      </c>
      <c r="AD27" s="373">
        <f t="shared" si="10"/>
        <v>2973.1175083859998</v>
      </c>
      <c r="AE27" s="373">
        <f t="shared" si="11"/>
        <v>18748.123950000001</v>
      </c>
      <c r="AF27" s="374">
        <f>H27*0.2</f>
        <v>749.92495800000006</v>
      </c>
      <c r="AG27" s="373">
        <f t="shared" si="12"/>
        <v>2973.1175083859998</v>
      </c>
      <c r="AH27" s="373">
        <f t="shared" si="13"/>
        <v>22497.748739999999</v>
      </c>
      <c r="AI27" s="374">
        <f>H27*0.2</f>
        <v>749.92495800000006</v>
      </c>
      <c r="AJ27" s="373">
        <f t="shared" si="14"/>
        <v>2973.1175083859998</v>
      </c>
      <c r="AK27" s="373">
        <f t="shared" si="15"/>
        <v>26247.373529999997</v>
      </c>
      <c r="AL27" s="376">
        <f>(AK27-25000)*0.27+(25000-AH27)*0.2</f>
        <v>837.24110509999946</v>
      </c>
      <c r="AM27" s="373">
        <f t="shared" si="16"/>
        <v>2885.8013612860004</v>
      </c>
      <c r="AN27" s="373">
        <f t="shared" si="17"/>
        <v>29996.998319999999</v>
      </c>
      <c r="AO27" s="376">
        <f t="shared" si="43"/>
        <v>1012.3986933</v>
      </c>
      <c r="AP27" s="373">
        <f t="shared" si="18"/>
        <v>2710.6437730859998</v>
      </c>
      <c r="AQ27" s="373">
        <f t="shared" si="19"/>
        <v>33746.62311</v>
      </c>
      <c r="AR27" s="376">
        <f t="shared" si="44"/>
        <v>1012.3986933</v>
      </c>
      <c r="AS27" s="373">
        <f t="shared" si="20"/>
        <v>2710.6437730859998</v>
      </c>
      <c r="AT27" s="373">
        <f t="shared" si="21"/>
        <v>37496.247900000002</v>
      </c>
      <c r="AU27" s="376">
        <f>H27*0.27</f>
        <v>1012.3986933</v>
      </c>
      <c r="AV27" s="373">
        <f t="shared" si="22"/>
        <v>2710.6437730859998</v>
      </c>
      <c r="AW27" s="373">
        <f t="shared" si="23"/>
        <v>41245.872689999997</v>
      </c>
      <c r="AX27" s="376">
        <f>H27*0.27</f>
        <v>1012.3986933</v>
      </c>
      <c r="AY27" s="373">
        <f t="shared" si="24"/>
        <v>2710.6437730859998</v>
      </c>
      <c r="AZ27" s="373">
        <f t="shared" si="25"/>
        <v>44995.497479999998</v>
      </c>
      <c r="BA27" s="376">
        <f>H27*0.27</f>
        <v>1012.3986933</v>
      </c>
      <c r="BB27" s="373">
        <f t="shared" si="26"/>
        <v>2710.6437730859998</v>
      </c>
      <c r="BC27" s="371"/>
      <c r="BE27" s="358"/>
    </row>
    <row r="28" spans="1:57" s="233" customFormat="1" ht="28.5" hidden="1" x14ac:dyDescent="0.45">
      <c r="A28" s="756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507">
        <v>278</v>
      </c>
      <c r="H28" s="510">
        <f t="shared" si="34"/>
        <v>2223.6737480000002</v>
      </c>
      <c r="I28" s="516">
        <v>0.54</v>
      </c>
      <c r="J28" s="512">
        <v>1795</v>
      </c>
      <c r="K28" s="361">
        <f t="shared" si="27"/>
        <v>1854.2707893032</v>
      </c>
      <c r="L28" s="390">
        <v>1854.2707893032</v>
      </c>
      <c r="M28" s="390">
        <f t="shared" si="28"/>
        <v>0</v>
      </c>
      <c r="N28" s="390"/>
      <c r="O28" s="390">
        <f t="shared" si="0"/>
        <v>1993.8395583905376</v>
      </c>
      <c r="P28" s="390"/>
      <c r="Q28" s="513"/>
      <c r="R28" s="372">
        <f t="shared" si="1"/>
        <v>16.511046736800001</v>
      </c>
      <c r="S28" s="373">
        <f t="shared" si="2"/>
        <v>2223.6737480000002</v>
      </c>
      <c r="T28" s="378">
        <f t="shared" si="46"/>
        <v>333.55106219999999</v>
      </c>
      <c r="U28" s="373">
        <f t="shared" si="3"/>
        <v>1873.6116390632003</v>
      </c>
      <c r="V28" s="373">
        <f t="shared" si="4"/>
        <v>4447.3474960000003</v>
      </c>
      <c r="W28" s="378">
        <f>H28*0.15</f>
        <v>333.55106219999999</v>
      </c>
      <c r="X28" s="373">
        <f t="shared" si="5"/>
        <v>1873.6116390632003</v>
      </c>
      <c r="Y28" s="373">
        <f t="shared" si="6"/>
        <v>6671.0212440000005</v>
      </c>
      <c r="Z28" s="378">
        <f>H28*0.15</f>
        <v>333.55106219999999</v>
      </c>
      <c r="AA28" s="373">
        <f t="shared" si="7"/>
        <v>1873.6116390632003</v>
      </c>
      <c r="AB28" s="373">
        <f t="shared" si="8"/>
        <v>8894.6949920000006</v>
      </c>
      <c r="AC28" s="378">
        <f>H28*0.15</f>
        <v>333.55106219999999</v>
      </c>
      <c r="AD28" s="373">
        <f t="shared" si="10"/>
        <v>1873.6116390632003</v>
      </c>
      <c r="AE28" s="373">
        <f t="shared" si="11"/>
        <v>11118.368740000002</v>
      </c>
      <c r="AF28" s="374">
        <f>(AE28-10000)*0.2+(10000-AB28)*0.15</f>
        <v>389.46949920000026</v>
      </c>
      <c r="AG28" s="373">
        <f t="shared" si="12"/>
        <v>1817.6932020632</v>
      </c>
      <c r="AH28" s="373">
        <f t="shared" si="13"/>
        <v>13342.042488000001</v>
      </c>
      <c r="AI28" s="374">
        <f>H28*0.2</f>
        <v>444.73474960000004</v>
      </c>
      <c r="AJ28" s="373">
        <f t="shared" si="14"/>
        <v>1762.4279516632002</v>
      </c>
      <c r="AK28" s="373">
        <f t="shared" si="15"/>
        <v>15565.716236</v>
      </c>
      <c r="AL28" s="374">
        <f>H28*0.2</f>
        <v>444.73474960000004</v>
      </c>
      <c r="AM28" s="373">
        <f t="shared" si="16"/>
        <v>1762.4279516632002</v>
      </c>
      <c r="AN28" s="373">
        <f t="shared" si="17"/>
        <v>17789.389984000001</v>
      </c>
      <c r="AO28" s="374">
        <f>H28*0.2</f>
        <v>444.73474960000004</v>
      </c>
      <c r="AP28" s="373">
        <f t="shared" si="18"/>
        <v>1762.4279516632002</v>
      </c>
      <c r="AQ28" s="373">
        <f t="shared" si="19"/>
        <v>20013.063732000002</v>
      </c>
      <c r="AR28" s="374">
        <f>H28*0.2</f>
        <v>444.73474960000004</v>
      </c>
      <c r="AS28" s="373">
        <f t="shared" si="20"/>
        <v>1762.4279516632002</v>
      </c>
      <c r="AT28" s="373">
        <f t="shared" si="21"/>
        <v>22236.737480000003</v>
      </c>
      <c r="AU28" s="374">
        <f>H28*0.2</f>
        <v>444.73474960000004</v>
      </c>
      <c r="AV28" s="373">
        <f t="shared" si="22"/>
        <v>1762.4279516632002</v>
      </c>
      <c r="AW28" s="373">
        <f t="shared" si="23"/>
        <v>24460.411228000001</v>
      </c>
      <c r="AX28" s="374">
        <f>H28*0.2</f>
        <v>444.73474960000004</v>
      </c>
      <c r="AY28" s="373">
        <f t="shared" si="24"/>
        <v>1762.4279516632002</v>
      </c>
      <c r="AZ28" s="373">
        <f t="shared" si="25"/>
        <v>26684.084976000002</v>
      </c>
      <c r="BA28" s="376">
        <f>(AZ28-25000)*0.27+(25000-AW28)*0.2</f>
        <v>562.62069792000034</v>
      </c>
      <c r="BB28" s="373">
        <f t="shared" si="26"/>
        <v>1644.5420033431999</v>
      </c>
      <c r="BC28" s="371"/>
      <c r="BE28" s="358"/>
    </row>
    <row r="29" spans="1:57" s="345" customFormat="1" ht="28.5" x14ac:dyDescent="0.45">
      <c r="A29" s="343"/>
      <c r="B29" s="349"/>
      <c r="C29" s="344"/>
      <c r="D29" s="344"/>
      <c r="E29" s="344"/>
      <c r="F29" s="344"/>
      <c r="G29" s="507"/>
      <c r="H29" s="508">
        <v>1</v>
      </c>
      <c r="I29" s="514"/>
      <c r="J29" s="507"/>
      <c r="K29" s="486"/>
      <c r="L29" s="390"/>
      <c r="M29" s="390"/>
      <c r="N29" s="390"/>
      <c r="O29" s="390"/>
      <c r="P29" s="390"/>
      <c r="Q29" s="513"/>
      <c r="R29" s="372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5"/>
      <c r="BE29" s="358"/>
    </row>
    <row r="30" spans="1:57" ht="73.5" customHeight="1" x14ac:dyDescent="0.5">
      <c r="A30" s="716" t="s">
        <v>28</v>
      </c>
      <c r="B30" s="287" t="s">
        <v>215</v>
      </c>
      <c r="C30" s="487">
        <v>600</v>
      </c>
      <c r="D30" s="488">
        <v>4996.0199999999995</v>
      </c>
      <c r="E30" s="488">
        <v>19984.079999999998</v>
      </c>
      <c r="F30" s="488">
        <f t="shared" ref="F30:F54" si="48">D30+E30</f>
        <v>24980.1</v>
      </c>
      <c r="G30" s="517">
        <v>359</v>
      </c>
      <c r="H30" s="277">
        <f>D30+E30*$H$29*$I30-G30</f>
        <v>17826.5128</v>
      </c>
      <c r="I30" s="489">
        <v>0.66</v>
      </c>
      <c r="J30" s="490">
        <v>11900</v>
      </c>
      <c r="K30" s="491">
        <f>((U30+X30+AA30+AD30+AG30+AJ30+AM30+AP30+AS30+AV30+AY30+BB30)/12)+60</f>
        <v>12301.375602186667</v>
      </c>
      <c r="L30" s="491">
        <v>11550.482589181869</v>
      </c>
      <c r="M30" s="491">
        <f t="shared" ref="M30:M54" si="49">L30-K30</f>
        <v>-750.89301300479747</v>
      </c>
      <c r="N30" s="491"/>
      <c r="O30" s="491">
        <f>K30/0.94</f>
        <v>13086.569789560284</v>
      </c>
      <c r="P30" s="491">
        <v>11792.208422135467</v>
      </c>
      <c r="Q30" s="518">
        <f t="shared" ref="Q30:Q54" si="50">K30-P30</f>
        <v>509.16718005119947</v>
      </c>
      <c r="R30" s="568">
        <f t="shared" ref="R30:R54" si="51">(H30+G30)*0.0066</f>
        <v>120.02438448000001</v>
      </c>
      <c r="S30" s="569">
        <f>H30*1</f>
        <v>17826.5128</v>
      </c>
      <c r="T30" s="570">
        <f t="shared" ref="T30:T42" si="52">(S30-10000)*0.2+10000*0.15</f>
        <v>3065.3025600000001</v>
      </c>
      <c r="U30" s="569">
        <f t="shared" ref="U30:U54" si="53">H30-R30-T30</f>
        <v>14641.185855520001</v>
      </c>
      <c r="V30" s="569">
        <f t="shared" ref="V30:V54" si="54">H30*2</f>
        <v>35653.025600000001</v>
      </c>
      <c r="W30" s="571">
        <f>(V30-25000)*0.27+(25000-S30)*0.2</f>
        <v>4311.0143520000001</v>
      </c>
      <c r="X30" s="569">
        <f t="shared" ref="X30:X54" si="55">H30-R30-W30</f>
        <v>13395.474063520001</v>
      </c>
      <c r="Y30" s="569">
        <f>H30*3</f>
        <v>53479.538400000005</v>
      </c>
      <c r="Z30" s="571">
        <f t="shared" ref="Z30:Z33" si="56">S30*0.27</f>
        <v>4813.1584560000001</v>
      </c>
      <c r="AA30" s="569">
        <f t="shared" ref="AA30:AA54" si="57">H30-R30-Z30</f>
        <v>12893.329959520001</v>
      </c>
      <c r="AB30" s="569">
        <f>H30*4</f>
        <v>71306.051200000002</v>
      </c>
      <c r="AC30" s="571">
        <f t="shared" ref="AC30:AC37" si="58">H30*0.27</f>
        <v>4813.1584560000001</v>
      </c>
      <c r="AD30" s="569">
        <f t="shared" ref="AD30:AD54" si="59">H30-R30-AC30</f>
        <v>12893.329959520001</v>
      </c>
      <c r="AE30" s="569">
        <f>H30*5</f>
        <v>89132.563999999998</v>
      </c>
      <c r="AF30" s="572">
        <f>(AE30-88000)*0.35+(88000-AB30)*0.27</f>
        <v>4903.7635759999994</v>
      </c>
      <c r="AG30" s="569">
        <f t="shared" ref="AG30:AG54" si="60">H30-R30-AF30</f>
        <v>12802.724839520002</v>
      </c>
      <c r="AH30" s="569">
        <f>H30*6</f>
        <v>106959.07680000001</v>
      </c>
      <c r="AI30" s="572">
        <f>H30*0.35</f>
        <v>6239.2794800000001</v>
      </c>
      <c r="AJ30" s="569">
        <f t="shared" ref="AJ30:AJ54" si="61">H30-R30-AI30</f>
        <v>11467.208935520001</v>
      </c>
      <c r="AK30" s="569">
        <f>H30*7</f>
        <v>124785.58960000001</v>
      </c>
      <c r="AL30" s="572">
        <f>H30*0.35</f>
        <v>6239.2794800000001</v>
      </c>
      <c r="AM30" s="569">
        <f t="shared" ref="AM30:AM54" si="62">H30-R30-AL30</f>
        <v>11467.208935520001</v>
      </c>
      <c r="AN30" s="569">
        <f>H30*8</f>
        <v>142612.1024</v>
      </c>
      <c r="AO30" s="572">
        <f>H30*0.35</f>
        <v>6239.2794800000001</v>
      </c>
      <c r="AP30" s="569">
        <f t="shared" ref="AP30:AP54" si="63">H30-R30-AO30</f>
        <v>11467.208935520001</v>
      </c>
      <c r="AQ30" s="569">
        <f>H30*9</f>
        <v>160438.6152</v>
      </c>
      <c r="AR30" s="572">
        <f>H30*0.35</f>
        <v>6239.2794800000001</v>
      </c>
      <c r="AS30" s="569">
        <f t="shared" ref="AS30:AS54" si="64">H30-R30-AR30</f>
        <v>11467.208935520001</v>
      </c>
      <c r="AT30" s="569">
        <f>H30*10</f>
        <v>178265.128</v>
      </c>
      <c r="AU30" s="572">
        <f>H30*0.35</f>
        <v>6239.2794800000001</v>
      </c>
      <c r="AV30" s="569">
        <f t="shared" ref="AV30:AV54" si="65">H30-R30-AU30</f>
        <v>11467.208935520001</v>
      </c>
      <c r="AW30" s="569">
        <f>H30*11</f>
        <v>196091.64079999999</v>
      </c>
      <c r="AX30" s="572">
        <f t="shared" ref="AX30:AX37" si="66">H30*0.35</f>
        <v>6239.2794800000001</v>
      </c>
      <c r="AY30" s="569">
        <f t="shared" ref="AY30:AY54" si="67">H30-R30-AX30</f>
        <v>11467.208935520001</v>
      </c>
      <c r="AZ30" s="569">
        <f>H30*12</f>
        <v>213918.15360000002</v>
      </c>
      <c r="BA30" s="572">
        <f t="shared" ref="BA30:BA37" si="68">H30*0.35</f>
        <v>6239.2794800000001</v>
      </c>
      <c r="BB30" s="569">
        <f t="shared" ref="BB30:BB54" si="69">H30-R30-BA30</f>
        <v>11467.208935520001</v>
      </c>
      <c r="BC30" s="292"/>
      <c r="BE30" s="358"/>
    </row>
    <row r="31" spans="1:57" ht="73.5" customHeight="1" x14ac:dyDescent="0.5">
      <c r="A31" s="716"/>
      <c r="B31" s="287" t="s">
        <v>214</v>
      </c>
      <c r="C31" s="487">
        <v>600</v>
      </c>
      <c r="D31" s="488">
        <v>4996.0199999999995</v>
      </c>
      <c r="E31" s="488">
        <v>19984.079999999998</v>
      </c>
      <c r="F31" s="488">
        <f t="shared" si="48"/>
        <v>24980.1</v>
      </c>
      <c r="G31" s="517">
        <v>359</v>
      </c>
      <c r="H31" s="277">
        <f t="shared" ref="H31:H54" si="70">D31+E31*$H$29*$I31-G31</f>
        <v>11431.607199999999</v>
      </c>
      <c r="I31" s="489">
        <v>0.34</v>
      </c>
      <c r="J31" s="490">
        <v>8000</v>
      </c>
      <c r="K31" s="491">
        <f t="shared" si="27"/>
        <v>8186.8933391466662</v>
      </c>
      <c r="L31" s="491">
        <v>7803.7321784010674</v>
      </c>
      <c r="M31" s="491">
        <f t="shared" si="49"/>
        <v>-383.16116074559886</v>
      </c>
      <c r="N31" s="491"/>
      <c r="O31" s="491">
        <f t="shared" ref="O31:O54" si="71">K31/0.94</f>
        <v>8709.4609990921981</v>
      </c>
      <c r="P31" s="491">
        <v>7924.5950948778691</v>
      </c>
      <c r="Q31" s="518">
        <f t="shared" si="50"/>
        <v>262.29824426879713</v>
      </c>
      <c r="R31" s="568">
        <f t="shared" si="51"/>
        <v>77.818007519999995</v>
      </c>
      <c r="S31" s="569">
        <f t="shared" ref="S31:S54" si="72">H31*1</f>
        <v>11431.607199999999</v>
      </c>
      <c r="T31" s="570">
        <f t="shared" si="52"/>
        <v>1786.3214399999997</v>
      </c>
      <c r="U31" s="569">
        <f t="shared" si="53"/>
        <v>9567.467752479999</v>
      </c>
      <c r="V31" s="569">
        <f t="shared" si="54"/>
        <v>22863.214399999997</v>
      </c>
      <c r="W31" s="570">
        <f>H31*0.2</f>
        <v>2286.3214399999997</v>
      </c>
      <c r="X31" s="569">
        <f t="shared" si="55"/>
        <v>9067.467752479999</v>
      </c>
      <c r="Y31" s="569">
        <f t="shared" ref="Y31:Y54" si="73">H31*3</f>
        <v>34294.821599999996</v>
      </c>
      <c r="Z31" s="571">
        <f>(Y31-25000)*0.27+(25000-V31)*0.2</f>
        <v>2936.9589519999995</v>
      </c>
      <c r="AA31" s="569">
        <f t="shared" si="57"/>
        <v>8416.8302404799997</v>
      </c>
      <c r="AB31" s="569">
        <f t="shared" ref="AB31:AB54" si="74">H31*4</f>
        <v>45726.428799999994</v>
      </c>
      <c r="AC31" s="571">
        <f t="shared" si="58"/>
        <v>3086.5339439999998</v>
      </c>
      <c r="AD31" s="569">
        <f t="shared" si="59"/>
        <v>8267.2552484799999</v>
      </c>
      <c r="AE31" s="569">
        <f t="shared" ref="AE31:AE54" si="75">H31*5</f>
        <v>57158.035999999993</v>
      </c>
      <c r="AF31" s="571">
        <f t="shared" ref="AF31:AF50" si="76">H31*0.27</f>
        <v>3086.5339439999998</v>
      </c>
      <c r="AG31" s="569">
        <f t="shared" si="60"/>
        <v>8267.2552484799999</v>
      </c>
      <c r="AH31" s="569">
        <f t="shared" ref="AH31:AH54" si="77">H31*6</f>
        <v>68589.643199999991</v>
      </c>
      <c r="AI31" s="571">
        <f t="shared" ref="AI31:AI38" si="78">H31*0.27</f>
        <v>3086.5339439999998</v>
      </c>
      <c r="AJ31" s="569">
        <f t="shared" si="61"/>
        <v>8267.2552484799999</v>
      </c>
      <c r="AK31" s="569">
        <f t="shared" ref="AK31:AK54" si="79">H31*7</f>
        <v>80021.25039999999</v>
      </c>
      <c r="AL31" s="571">
        <f>H31*0.27</f>
        <v>3086.5339439999998</v>
      </c>
      <c r="AM31" s="569">
        <f t="shared" si="62"/>
        <v>8267.2552484799999</v>
      </c>
      <c r="AN31" s="569">
        <f t="shared" ref="AN31:AN54" si="80">H31*8</f>
        <v>91452.857599999988</v>
      </c>
      <c r="AO31" s="572">
        <f>(AN31-88000)*0.35+(88000-AK31)*0.27</f>
        <v>3362.7625519999988</v>
      </c>
      <c r="AP31" s="569">
        <f t="shared" si="63"/>
        <v>7991.0266404800004</v>
      </c>
      <c r="AQ31" s="569">
        <f t="shared" ref="AQ31:AQ54" si="81">H31*9</f>
        <v>102884.46479999999</v>
      </c>
      <c r="AR31" s="572">
        <f>H31*0.35</f>
        <v>4001.062519999999</v>
      </c>
      <c r="AS31" s="569">
        <f t="shared" si="64"/>
        <v>7352.7266724799993</v>
      </c>
      <c r="AT31" s="569">
        <f t="shared" ref="AT31:AT54" si="82">H31*10</f>
        <v>114316.07199999999</v>
      </c>
      <c r="AU31" s="572">
        <f>H31*0.35</f>
        <v>4001.062519999999</v>
      </c>
      <c r="AV31" s="569">
        <f t="shared" si="65"/>
        <v>7352.7266724799993</v>
      </c>
      <c r="AW31" s="569">
        <f t="shared" ref="AW31:AW54" si="83">H31*11</f>
        <v>125747.67919999998</v>
      </c>
      <c r="AX31" s="572">
        <f t="shared" si="66"/>
        <v>4001.062519999999</v>
      </c>
      <c r="AY31" s="569">
        <f t="shared" si="67"/>
        <v>7352.7266724799993</v>
      </c>
      <c r="AZ31" s="569">
        <f t="shared" ref="AZ31:AZ54" si="84">H31*12</f>
        <v>137179.28639999998</v>
      </c>
      <c r="BA31" s="572">
        <f t="shared" si="68"/>
        <v>4001.062519999999</v>
      </c>
      <c r="BB31" s="569">
        <f t="shared" si="69"/>
        <v>7352.7266724799993</v>
      </c>
      <c r="BC31" s="292"/>
      <c r="BE31" s="358"/>
    </row>
    <row r="32" spans="1:57" ht="73.5" customHeight="1" x14ac:dyDescent="0.5">
      <c r="A32" s="716"/>
      <c r="B32" s="227" t="s">
        <v>220</v>
      </c>
      <c r="C32" s="492">
        <v>600</v>
      </c>
      <c r="D32" s="493">
        <v>4996.0199999999995</v>
      </c>
      <c r="E32" s="493">
        <v>19984.079999999998</v>
      </c>
      <c r="F32" s="493">
        <v>16231.55401011872</v>
      </c>
      <c r="G32" s="517">
        <v>359</v>
      </c>
      <c r="H32" s="277">
        <f t="shared" si="70"/>
        <v>9633.0399999999991</v>
      </c>
      <c r="I32" s="489">
        <v>0.25</v>
      </c>
      <c r="J32" s="490">
        <v>6844</v>
      </c>
      <c r="K32" s="491">
        <f t="shared" si="27"/>
        <v>7029.695202666665</v>
      </c>
      <c r="L32" s="491">
        <v>6836.8288465866681</v>
      </c>
      <c r="M32" s="491">
        <f t="shared" si="49"/>
        <v>-192.86635607999688</v>
      </c>
      <c r="N32" s="491"/>
      <c r="O32" s="491">
        <f t="shared" si="71"/>
        <v>7478.3991517730483</v>
      </c>
      <c r="P32" s="491">
        <v>6836.8288465866681</v>
      </c>
      <c r="Q32" s="518">
        <f t="shared" si="50"/>
        <v>192.86635607999688</v>
      </c>
      <c r="R32" s="568">
        <f t="shared" si="51"/>
        <v>65.947463999999997</v>
      </c>
      <c r="S32" s="569">
        <f t="shared" si="72"/>
        <v>9633.0399999999991</v>
      </c>
      <c r="T32" s="573">
        <f t="shared" ref="T32" si="85">S32*0.15</f>
        <v>1444.9559999999999</v>
      </c>
      <c r="U32" s="569">
        <f t="shared" si="53"/>
        <v>8122.1365359999982</v>
      </c>
      <c r="V32" s="569">
        <f t="shared" si="54"/>
        <v>19266.079999999998</v>
      </c>
      <c r="W32" s="570">
        <f t="shared" ref="W32" si="86">(V32-10000)*0.2+(10000-S32)*0.15</f>
        <v>1908.2599999999998</v>
      </c>
      <c r="X32" s="569">
        <f t="shared" si="55"/>
        <v>7658.8325359999981</v>
      </c>
      <c r="Y32" s="569">
        <f t="shared" si="73"/>
        <v>28899.119999999995</v>
      </c>
      <c r="Z32" s="571">
        <f>(Y32-25000)*0.27+(25000-V32)*0.2</f>
        <v>2199.5463999999993</v>
      </c>
      <c r="AA32" s="569">
        <f t="shared" si="57"/>
        <v>7367.546135999999</v>
      </c>
      <c r="AB32" s="569">
        <f t="shared" si="74"/>
        <v>38532.159999999996</v>
      </c>
      <c r="AC32" s="571">
        <f t="shared" si="58"/>
        <v>2600.9207999999999</v>
      </c>
      <c r="AD32" s="569">
        <f t="shared" si="59"/>
        <v>6966.1717359999984</v>
      </c>
      <c r="AE32" s="569">
        <f t="shared" si="75"/>
        <v>48165.2</v>
      </c>
      <c r="AF32" s="571">
        <f t="shared" si="76"/>
        <v>2600.9207999999999</v>
      </c>
      <c r="AG32" s="569">
        <f t="shared" si="60"/>
        <v>6966.1717359999984</v>
      </c>
      <c r="AH32" s="569">
        <f t="shared" si="77"/>
        <v>57798.239999999991</v>
      </c>
      <c r="AI32" s="571">
        <f t="shared" si="78"/>
        <v>2600.9207999999999</v>
      </c>
      <c r="AJ32" s="569">
        <f t="shared" si="61"/>
        <v>6966.1717359999984</v>
      </c>
      <c r="AK32" s="569">
        <f t="shared" si="79"/>
        <v>67431.28</v>
      </c>
      <c r="AL32" s="571">
        <f>H32*0.27</f>
        <v>2600.9207999999999</v>
      </c>
      <c r="AM32" s="569">
        <f t="shared" si="62"/>
        <v>6966.1717359999984</v>
      </c>
      <c r="AN32" s="569">
        <f t="shared" si="80"/>
        <v>77064.319999999992</v>
      </c>
      <c r="AO32" s="571">
        <f>H32*0.27</f>
        <v>2600.9207999999999</v>
      </c>
      <c r="AP32" s="569">
        <f t="shared" si="63"/>
        <v>6966.1717359999984</v>
      </c>
      <c r="AQ32" s="569">
        <f t="shared" si="81"/>
        <v>86697.359999999986</v>
      </c>
      <c r="AR32" s="571">
        <f>H32*0.27</f>
        <v>2600.9207999999999</v>
      </c>
      <c r="AS32" s="569">
        <f t="shared" si="64"/>
        <v>6966.1717359999984</v>
      </c>
      <c r="AT32" s="569">
        <f t="shared" si="82"/>
        <v>96330.4</v>
      </c>
      <c r="AU32" s="572">
        <f>(AT32-88000)*0.35+(88000-AQ32)*0.27</f>
        <v>3267.3528000000015</v>
      </c>
      <c r="AV32" s="569">
        <f t="shared" si="65"/>
        <v>6299.7397359999968</v>
      </c>
      <c r="AW32" s="569">
        <f t="shared" si="83"/>
        <v>105963.43999999999</v>
      </c>
      <c r="AX32" s="572">
        <f t="shared" si="66"/>
        <v>3371.5639999999994</v>
      </c>
      <c r="AY32" s="569">
        <f t="shared" si="67"/>
        <v>6195.5285359999989</v>
      </c>
      <c r="AZ32" s="569">
        <f t="shared" si="84"/>
        <v>115596.47999999998</v>
      </c>
      <c r="BA32" s="572">
        <f t="shared" si="68"/>
        <v>3371.5639999999994</v>
      </c>
      <c r="BB32" s="569">
        <f t="shared" si="69"/>
        <v>6195.5285359999989</v>
      </c>
      <c r="BC32" s="292"/>
      <c r="BE32" s="358"/>
    </row>
    <row r="33" spans="1:57" ht="73.5" customHeight="1" x14ac:dyDescent="0.5">
      <c r="A33" s="716"/>
      <c r="B33" s="287" t="s">
        <v>32</v>
      </c>
      <c r="C33" s="487">
        <v>450</v>
      </c>
      <c r="D33" s="488">
        <v>4996.0199999999995</v>
      </c>
      <c r="E33" s="488">
        <v>14988.06</v>
      </c>
      <c r="F33" s="488">
        <f t="shared" si="48"/>
        <v>19984.079999999998</v>
      </c>
      <c r="G33" s="517">
        <v>359</v>
      </c>
      <c r="H33" s="277">
        <f t="shared" si="70"/>
        <v>14079.497800000001</v>
      </c>
      <c r="I33" s="489">
        <v>0.63</v>
      </c>
      <c r="J33" s="490">
        <v>9500</v>
      </c>
      <c r="K33" s="491">
        <f t="shared" si="27"/>
        <v>9890.5461511866688</v>
      </c>
      <c r="L33" s="491">
        <v>9254.0871761226681</v>
      </c>
      <c r="M33" s="491">
        <f t="shared" si="49"/>
        <v>-636.4589750640007</v>
      </c>
      <c r="N33" s="491"/>
      <c r="O33" s="491">
        <f t="shared" si="71"/>
        <v>10521.857607645394</v>
      </c>
      <c r="P33" s="491">
        <v>9526.028738195464</v>
      </c>
      <c r="Q33" s="518">
        <f t="shared" si="50"/>
        <v>364.51741299120476</v>
      </c>
      <c r="R33" s="568">
        <f t="shared" si="51"/>
        <v>95.294085480000007</v>
      </c>
      <c r="S33" s="569">
        <f t="shared" si="72"/>
        <v>14079.497800000001</v>
      </c>
      <c r="T33" s="570">
        <f t="shared" si="52"/>
        <v>2315.8995600000003</v>
      </c>
      <c r="U33" s="569">
        <f t="shared" si="53"/>
        <v>11668.304154520001</v>
      </c>
      <c r="V33" s="569">
        <f t="shared" si="54"/>
        <v>28158.995600000002</v>
      </c>
      <c r="W33" s="571">
        <f>(V33-25000)*0.27+(25000-S33)*0.2</f>
        <v>3037.0292520000003</v>
      </c>
      <c r="X33" s="569">
        <f t="shared" si="55"/>
        <v>10947.174462520001</v>
      </c>
      <c r="Y33" s="569">
        <f t="shared" si="73"/>
        <v>42238.493400000007</v>
      </c>
      <c r="Z33" s="571">
        <f t="shared" si="56"/>
        <v>3801.4644060000005</v>
      </c>
      <c r="AA33" s="569">
        <f t="shared" si="57"/>
        <v>10182.73930852</v>
      </c>
      <c r="AB33" s="569">
        <f t="shared" si="74"/>
        <v>56317.991200000004</v>
      </c>
      <c r="AC33" s="571">
        <f t="shared" si="58"/>
        <v>3801.4644060000005</v>
      </c>
      <c r="AD33" s="569">
        <f t="shared" si="59"/>
        <v>10182.73930852</v>
      </c>
      <c r="AE33" s="569">
        <f t="shared" si="75"/>
        <v>70397.489000000001</v>
      </c>
      <c r="AF33" s="571">
        <f t="shared" si="76"/>
        <v>3801.4644060000005</v>
      </c>
      <c r="AG33" s="569">
        <f t="shared" si="60"/>
        <v>10182.73930852</v>
      </c>
      <c r="AH33" s="569">
        <f t="shared" si="77"/>
        <v>84476.986800000013</v>
      </c>
      <c r="AI33" s="571">
        <f t="shared" si="78"/>
        <v>3801.4644060000005</v>
      </c>
      <c r="AJ33" s="569">
        <f t="shared" si="61"/>
        <v>10182.73930852</v>
      </c>
      <c r="AK33" s="569">
        <f t="shared" si="79"/>
        <v>98556.484600000011</v>
      </c>
      <c r="AL33" s="572">
        <f>(AK33-88000)*0.35+(88000-AH33)*0.27</f>
        <v>4645.983174</v>
      </c>
      <c r="AM33" s="569">
        <f t="shared" si="62"/>
        <v>9338.2205405200002</v>
      </c>
      <c r="AN33" s="569">
        <f t="shared" si="80"/>
        <v>112635.98240000001</v>
      </c>
      <c r="AO33" s="572">
        <f>H33*0.35</f>
        <v>4927.8242300000002</v>
      </c>
      <c r="AP33" s="569">
        <f t="shared" si="63"/>
        <v>9056.3794845200009</v>
      </c>
      <c r="AQ33" s="569">
        <f t="shared" si="81"/>
        <v>126715.48020000001</v>
      </c>
      <c r="AR33" s="572">
        <f>H33*0.35</f>
        <v>4927.8242300000002</v>
      </c>
      <c r="AS33" s="569">
        <f t="shared" si="64"/>
        <v>9056.3794845200009</v>
      </c>
      <c r="AT33" s="569">
        <f t="shared" si="82"/>
        <v>140794.978</v>
      </c>
      <c r="AU33" s="572">
        <f>H33*0.35</f>
        <v>4927.8242300000002</v>
      </c>
      <c r="AV33" s="569">
        <f t="shared" si="65"/>
        <v>9056.3794845200009</v>
      </c>
      <c r="AW33" s="569">
        <f t="shared" si="83"/>
        <v>154874.47580000001</v>
      </c>
      <c r="AX33" s="572">
        <f t="shared" si="66"/>
        <v>4927.8242300000002</v>
      </c>
      <c r="AY33" s="569">
        <f t="shared" si="67"/>
        <v>9056.3794845200009</v>
      </c>
      <c r="AZ33" s="569">
        <f t="shared" si="84"/>
        <v>168953.97360000003</v>
      </c>
      <c r="BA33" s="572">
        <f t="shared" si="68"/>
        <v>4927.8242300000002</v>
      </c>
      <c r="BB33" s="569">
        <f t="shared" si="69"/>
        <v>9056.3794845200009</v>
      </c>
      <c r="BC33" s="292"/>
      <c r="BE33" s="358"/>
    </row>
    <row r="34" spans="1:57" ht="73.5" customHeight="1" x14ac:dyDescent="0.5">
      <c r="A34" s="716"/>
      <c r="B34" s="287" t="s">
        <v>237</v>
      </c>
      <c r="C34" s="487">
        <v>450</v>
      </c>
      <c r="D34" s="488">
        <v>4996.0199999999995</v>
      </c>
      <c r="E34" s="488">
        <v>14988.06</v>
      </c>
      <c r="F34" s="488">
        <f t="shared" si="48"/>
        <v>19984.079999999998</v>
      </c>
      <c r="G34" s="517">
        <v>359</v>
      </c>
      <c r="H34" s="277">
        <f t="shared" si="70"/>
        <v>11981.169399999999</v>
      </c>
      <c r="I34" s="489">
        <v>0.49</v>
      </c>
      <c r="J34" s="490">
        <v>8300</v>
      </c>
      <c r="K34" s="491">
        <f t="shared" si="27"/>
        <v>8540.4816586266643</v>
      </c>
      <c r="L34" s="491">
        <v>8166.3209278314671</v>
      </c>
      <c r="M34" s="491">
        <f t="shared" si="49"/>
        <v>-374.1607307951972</v>
      </c>
      <c r="N34" s="491"/>
      <c r="O34" s="491">
        <f t="shared" si="71"/>
        <v>9085.6187857730474</v>
      </c>
      <c r="P34" s="491">
        <v>8256.9681151890672</v>
      </c>
      <c r="Q34" s="518">
        <f t="shared" si="50"/>
        <v>283.51354343759704</v>
      </c>
      <c r="R34" s="568">
        <f t="shared" si="51"/>
        <v>81.445118039999997</v>
      </c>
      <c r="S34" s="569">
        <f t="shared" si="72"/>
        <v>11981.169399999999</v>
      </c>
      <c r="T34" s="570">
        <f t="shared" si="52"/>
        <v>1896.2338799999998</v>
      </c>
      <c r="U34" s="569">
        <f t="shared" si="53"/>
        <v>10003.49040196</v>
      </c>
      <c r="V34" s="569">
        <f t="shared" si="54"/>
        <v>23962.338799999998</v>
      </c>
      <c r="W34" s="571">
        <f>S34*0.2</f>
        <v>2396.2338799999998</v>
      </c>
      <c r="X34" s="569">
        <f t="shared" si="55"/>
        <v>9503.4904019599999</v>
      </c>
      <c r="Y34" s="569">
        <f t="shared" si="73"/>
        <v>35943.508199999997</v>
      </c>
      <c r="Z34" s="571">
        <f>(Y34-25000)*0.27+(25000-V34)*0.2</f>
        <v>3162.2794539999995</v>
      </c>
      <c r="AA34" s="569">
        <f t="shared" si="57"/>
        <v>8737.4448279600001</v>
      </c>
      <c r="AB34" s="569">
        <f t="shared" si="74"/>
        <v>47924.677599999995</v>
      </c>
      <c r="AC34" s="571">
        <f t="shared" si="58"/>
        <v>3234.9157379999997</v>
      </c>
      <c r="AD34" s="569">
        <f t="shared" si="59"/>
        <v>8664.80854396</v>
      </c>
      <c r="AE34" s="569">
        <f t="shared" si="75"/>
        <v>59905.846999999994</v>
      </c>
      <c r="AF34" s="571">
        <f t="shared" si="76"/>
        <v>3234.9157379999997</v>
      </c>
      <c r="AG34" s="569">
        <f t="shared" si="60"/>
        <v>8664.80854396</v>
      </c>
      <c r="AH34" s="569">
        <f t="shared" si="77"/>
        <v>71887.016399999993</v>
      </c>
      <c r="AI34" s="571">
        <f t="shared" si="78"/>
        <v>3234.9157379999997</v>
      </c>
      <c r="AJ34" s="569">
        <f t="shared" si="61"/>
        <v>8664.80854396</v>
      </c>
      <c r="AK34" s="569">
        <f t="shared" si="79"/>
        <v>83868.185799999992</v>
      </c>
      <c r="AL34" s="571">
        <f>H34*0.27</f>
        <v>3234.9157379999997</v>
      </c>
      <c r="AM34" s="569">
        <f t="shared" si="62"/>
        <v>8664.80854396</v>
      </c>
      <c r="AN34" s="569">
        <f t="shared" si="80"/>
        <v>95849.355199999991</v>
      </c>
      <c r="AO34" s="572">
        <f>(AN34-88000)*0.35+(88000-AK34)*0.27</f>
        <v>3862.864153999999</v>
      </c>
      <c r="AP34" s="569">
        <f t="shared" si="63"/>
        <v>8036.8601279600007</v>
      </c>
      <c r="AQ34" s="569">
        <f t="shared" si="81"/>
        <v>107830.52459999999</v>
      </c>
      <c r="AR34" s="572">
        <f>H34*0.35</f>
        <v>4193.4092899999996</v>
      </c>
      <c r="AS34" s="569">
        <f t="shared" si="64"/>
        <v>7706.31499196</v>
      </c>
      <c r="AT34" s="569">
        <f t="shared" si="82"/>
        <v>119811.69399999999</v>
      </c>
      <c r="AU34" s="572">
        <f>H34*0.35</f>
        <v>4193.4092899999996</v>
      </c>
      <c r="AV34" s="569">
        <f t="shared" si="65"/>
        <v>7706.31499196</v>
      </c>
      <c r="AW34" s="569">
        <f t="shared" si="83"/>
        <v>131792.86339999997</v>
      </c>
      <c r="AX34" s="572">
        <f t="shared" si="66"/>
        <v>4193.4092899999996</v>
      </c>
      <c r="AY34" s="569">
        <f t="shared" si="67"/>
        <v>7706.31499196</v>
      </c>
      <c r="AZ34" s="569">
        <f t="shared" si="84"/>
        <v>143774.03279999999</v>
      </c>
      <c r="BA34" s="572">
        <f t="shared" si="68"/>
        <v>4193.4092899999996</v>
      </c>
      <c r="BB34" s="569">
        <f t="shared" si="69"/>
        <v>7706.31499196</v>
      </c>
      <c r="BC34" s="292"/>
      <c r="BE34" s="358"/>
    </row>
    <row r="35" spans="1:57" ht="73.5" customHeight="1" x14ac:dyDescent="0.5">
      <c r="A35" s="716"/>
      <c r="B35" s="227" t="s">
        <v>234</v>
      </c>
      <c r="C35" s="492">
        <v>300</v>
      </c>
      <c r="D35" s="493">
        <v>4996.0199999999995</v>
      </c>
      <c r="E35" s="493">
        <v>9992.0399999999991</v>
      </c>
      <c r="F35" s="493">
        <f t="shared" si="48"/>
        <v>14988.059999999998</v>
      </c>
      <c r="G35" s="517">
        <v>359</v>
      </c>
      <c r="H35" s="277">
        <f t="shared" si="70"/>
        <v>10432.403199999999</v>
      </c>
      <c r="I35" s="489">
        <v>0.57999999999999996</v>
      </c>
      <c r="J35" s="490">
        <v>7300</v>
      </c>
      <c r="K35" s="491">
        <f t="shared" si="27"/>
        <v>7544.005485546666</v>
      </c>
      <c r="L35" s="491">
        <v>7138.9861377786683</v>
      </c>
      <c r="M35" s="491">
        <f t="shared" si="49"/>
        <v>-405.01934776799771</v>
      </c>
      <c r="N35" s="491"/>
      <c r="O35" s="491">
        <f t="shared" si="71"/>
        <v>8025.5377505815604</v>
      </c>
      <c r="P35" s="491">
        <v>7320.280512493865</v>
      </c>
      <c r="Q35" s="518">
        <f t="shared" si="50"/>
        <v>223.72497305280103</v>
      </c>
      <c r="R35" s="568">
        <f t="shared" si="51"/>
        <v>71.223261119999989</v>
      </c>
      <c r="S35" s="569">
        <f t="shared" si="72"/>
        <v>10432.403199999999</v>
      </c>
      <c r="T35" s="570">
        <f t="shared" si="52"/>
        <v>1586.4806399999998</v>
      </c>
      <c r="U35" s="569">
        <f t="shared" si="53"/>
        <v>8774.6992988799993</v>
      </c>
      <c r="V35" s="569">
        <f t="shared" si="54"/>
        <v>20864.806399999998</v>
      </c>
      <c r="W35" s="570">
        <f>H35*0.2</f>
        <v>2086.4806399999998</v>
      </c>
      <c r="X35" s="569">
        <f t="shared" si="55"/>
        <v>8274.6992988799993</v>
      </c>
      <c r="Y35" s="569">
        <f t="shared" si="73"/>
        <v>31297.209599999995</v>
      </c>
      <c r="Z35" s="571">
        <f>(Y35-25000)*0.27+(25000-V35)*0.2</f>
        <v>2527.2853119999991</v>
      </c>
      <c r="AA35" s="569">
        <f t="shared" si="57"/>
        <v>7833.89462688</v>
      </c>
      <c r="AB35" s="569">
        <f t="shared" si="74"/>
        <v>41729.612799999995</v>
      </c>
      <c r="AC35" s="571">
        <f t="shared" si="58"/>
        <v>2816.7488639999997</v>
      </c>
      <c r="AD35" s="569">
        <f t="shared" si="59"/>
        <v>7544.4310748799999</v>
      </c>
      <c r="AE35" s="569">
        <f t="shared" si="75"/>
        <v>52162.015999999996</v>
      </c>
      <c r="AF35" s="571">
        <f t="shared" si="76"/>
        <v>2816.7488639999997</v>
      </c>
      <c r="AG35" s="569">
        <f t="shared" si="60"/>
        <v>7544.4310748799999</v>
      </c>
      <c r="AH35" s="569">
        <f t="shared" si="77"/>
        <v>62594.419199999989</v>
      </c>
      <c r="AI35" s="571">
        <f t="shared" si="78"/>
        <v>2816.7488639999997</v>
      </c>
      <c r="AJ35" s="569">
        <f t="shared" si="61"/>
        <v>7544.4310748799999</v>
      </c>
      <c r="AK35" s="569">
        <f t="shared" si="79"/>
        <v>73026.82239999999</v>
      </c>
      <c r="AL35" s="571">
        <f>H35*0.27</f>
        <v>2816.7488639999997</v>
      </c>
      <c r="AM35" s="569">
        <f t="shared" si="62"/>
        <v>7544.4310748799999</v>
      </c>
      <c r="AN35" s="569">
        <f t="shared" si="80"/>
        <v>83459.225599999991</v>
      </c>
      <c r="AO35" s="571">
        <f>H35*0.27</f>
        <v>2816.7488639999997</v>
      </c>
      <c r="AP35" s="569">
        <f t="shared" si="63"/>
        <v>7544.4310748799999</v>
      </c>
      <c r="AQ35" s="569">
        <f t="shared" si="81"/>
        <v>93891.628799999991</v>
      </c>
      <c r="AR35" s="572">
        <f>(AQ35-88000)*0.35+(88000-AN35)*0.27</f>
        <v>3288.0791679999993</v>
      </c>
      <c r="AS35" s="569">
        <f t="shared" si="64"/>
        <v>7073.1007708799998</v>
      </c>
      <c r="AT35" s="569">
        <f t="shared" si="82"/>
        <v>104324.03199999999</v>
      </c>
      <c r="AU35" s="572">
        <f>H35*0.35</f>
        <v>3651.3411199999991</v>
      </c>
      <c r="AV35" s="569">
        <f t="shared" si="65"/>
        <v>6709.83881888</v>
      </c>
      <c r="AW35" s="569">
        <f t="shared" si="83"/>
        <v>114756.43519999999</v>
      </c>
      <c r="AX35" s="572">
        <f t="shared" si="66"/>
        <v>3651.3411199999991</v>
      </c>
      <c r="AY35" s="569">
        <f t="shared" si="67"/>
        <v>6709.83881888</v>
      </c>
      <c r="AZ35" s="569">
        <f t="shared" si="84"/>
        <v>125188.83839999998</v>
      </c>
      <c r="BA35" s="572">
        <f t="shared" si="68"/>
        <v>3651.3411199999991</v>
      </c>
      <c r="BB35" s="569">
        <f t="shared" si="69"/>
        <v>6709.83881888</v>
      </c>
      <c r="BC35" s="292"/>
      <c r="BE35" s="358"/>
    </row>
    <row r="36" spans="1:57" ht="73.5" customHeight="1" x14ac:dyDescent="0.5">
      <c r="A36" s="716"/>
      <c r="B36" s="227" t="s">
        <v>242</v>
      </c>
      <c r="C36" s="492">
        <v>300</v>
      </c>
      <c r="D36" s="493">
        <v>4996.0199999999995</v>
      </c>
      <c r="E36" s="493">
        <v>9992.0399999999991</v>
      </c>
      <c r="F36" s="493">
        <f t="shared" si="48"/>
        <v>14988.059999999998</v>
      </c>
      <c r="G36" s="517">
        <v>359</v>
      </c>
      <c r="H36" s="277">
        <f t="shared" si="70"/>
        <v>10132.642</v>
      </c>
      <c r="I36" s="489">
        <v>0.55000000000000004</v>
      </c>
      <c r="J36" s="490">
        <v>7100</v>
      </c>
      <c r="K36" s="491">
        <f t="shared" si="27"/>
        <v>7351.1391294666655</v>
      </c>
      <c r="L36" s="491">
        <v>7138.9861377786683</v>
      </c>
      <c r="M36" s="491">
        <f t="shared" si="49"/>
        <v>-212.1529916879972</v>
      </c>
      <c r="N36" s="491"/>
      <c r="O36" s="491">
        <f t="shared" si="71"/>
        <v>7820.3607760283676</v>
      </c>
      <c r="P36" s="491">
        <v>7138.9861377786683</v>
      </c>
      <c r="Q36" s="518">
        <f t="shared" si="50"/>
        <v>212.1529916879972</v>
      </c>
      <c r="R36" s="568">
        <f t="shared" si="51"/>
        <v>69.244837199999992</v>
      </c>
      <c r="S36" s="569">
        <f t="shared" si="72"/>
        <v>10132.642</v>
      </c>
      <c r="T36" s="570">
        <f t="shared" si="52"/>
        <v>1526.5283999999999</v>
      </c>
      <c r="U36" s="569">
        <f t="shared" si="53"/>
        <v>8536.8687628000007</v>
      </c>
      <c r="V36" s="569">
        <f t="shared" si="54"/>
        <v>20265.284</v>
      </c>
      <c r="W36" s="570">
        <f>H36*0.2</f>
        <v>2026.5284000000001</v>
      </c>
      <c r="X36" s="569">
        <f t="shared" si="55"/>
        <v>8036.8687627999998</v>
      </c>
      <c r="Y36" s="569">
        <f t="shared" si="73"/>
        <v>30397.925999999999</v>
      </c>
      <c r="Z36" s="571">
        <f>(Y36-25000)*0.27+(25000-V36)*0.2</f>
        <v>2404.3832200000002</v>
      </c>
      <c r="AA36" s="569">
        <f t="shared" si="57"/>
        <v>7659.0139428000002</v>
      </c>
      <c r="AB36" s="569">
        <f t="shared" si="74"/>
        <v>40530.567999999999</v>
      </c>
      <c r="AC36" s="571">
        <f t="shared" si="58"/>
        <v>2735.8133400000002</v>
      </c>
      <c r="AD36" s="569">
        <f t="shared" si="59"/>
        <v>7327.5838227999993</v>
      </c>
      <c r="AE36" s="569">
        <f t="shared" si="75"/>
        <v>50663.21</v>
      </c>
      <c r="AF36" s="571">
        <f t="shared" si="76"/>
        <v>2735.8133400000002</v>
      </c>
      <c r="AG36" s="569">
        <f t="shared" si="60"/>
        <v>7327.5838227999993</v>
      </c>
      <c r="AH36" s="569">
        <f t="shared" si="77"/>
        <v>60795.851999999999</v>
      </c>
      <c r="AI36" s="571">
        <f t="shared" si="78"/>
        <v>2735.8133400000002</v>
      </c>
      <c r="AJ36" s="569">
        <f t="shared" si="61"/>
        <v>7327.5838227999993</v>
      </c>
      <c r="AK36" s="569">
        <f t="shared" si="79"/>
        <v>70928.494000000006</v>
      </c>
      <c r="AL36" s="571">
        <f>H36*0.27</f>
        <v>2735.8133400000002</v>
      </c>
      <c r="AM36" s="569">
        <f t="shared" si="62"/>
        <v>7327.5838227999993</v>
      </c>
      <c r="AN36" s="569">
        <f t="shared" si="80"/>
        <v>81061.135999999999</v>
      </c>
      <c r="AO36" s="571">
        <f>H36*0.27</f>
        <v>2735.8133400000002</v>
      </c>
      <c r="AP36" s="569">
        <f t="shared" si="63"/>
        <v>7327.5838227999993</v>
      </c>
      <c r="AQ36" s="569">
        <f t="shared" si="81"/>
        <v>91193.777999999991</v>
      </c>
      <c r="AR36" s="572">
        <f>(AQ36-88000)*0.35+(88000-AN36)*0.27</f>
        <v>2991.3155799999977</v>
      </c>
      <c r="AS36" s="569">
        <f t="shared" si="64"/>
        <v>7072.0815828000023</v>
      </c>
      <c r="AT36" s="569">
        <f t="shared" si="82"/>
        <v>101326.42</v>
      </c>
      <c r="AU36" s="572">
        <f>H36*0.35</f>
        <v>3546.4246999999996</v>
      </c>
      <c r="AV36" s="569">
        <f t="shared" si="65"/>
        <v>6516.9724628000004</v>
      </c>
      <c r="AW36" s="569">
        <f t="shared" si="83"/>
        <v>111459.06200000001</v>
      </c>
      <c r="AX36" s="572">
        <f t="shared" si="66"/>
        <v>3546.4246999999996</v>
      </c>
      <c r="AY36" s="569">
        <f t="shared" si="67"/>
        <v>6516.9724628000004</v>
      </c>
      <c r="AZ36" s="569">
        <f t="shared" si="84"/>
        <v>121591.704</v>
      </c>
      <c r="BA36" s="572">
        <f t="shared" si="68"/>
        <v>3546.4246999999996</v>
      </c>
      <c r="BB36" s="569">
        <f t="shared" si="69"/>
        <v>6516.9724628000004</v>
      </c>
      <c r="BC36" s="292"/>
      <c r="BE36" s="358"/>
    </row>
    <row r="37" spans="1:57" ht="73.5" customHeight="1" x14ac:dyDescent="0.5">
      <c r="A37" s="716"/>
      <c r="B37" s="227" t="s">
        <v>235</v>
      </c>
      <c r="C37" s="492">
        <v>300</v>
      </c>
      <c r="D37" s="493">
        <v>4996.0199999999995</v>
      </c>
      <c r="E37" s="493">
        <v>9992.0399999999991</v>
      </c>
      <c r="F37" s="493">
        <f t="shared" si="48"/>
        <v>14988.059999999998</v>
      </c>
      <c r="G37" s="517">
        <v>359</v>
      </c>
      <c r="H37" s="277">
        <f t="shared" si="70"/>
        <v>9633.0399999999991</v>
      </c>
      <c r="I37" s="489">
        <v>0.5</v>
      </c>
      <c r="J37" s="490">
        <v>6900</v>
      </c>
      <c r="K37" s="491">
        <f t="shared" si="27"/>
        <v>7029.695202666665</v>
      </c>
      <c r="L37" s="491">
        <v>6836.8288465866681</v>
      </c>
      <c r="M37" s="491">
        <f t="shared" si="49"/>
        <v>-192.86635607999688</v>
      </c>
      <c r="N37" s="491"/>
      <c r="O37" s="491">
        <f t="shared" si="71"/>
        <v>7478.3991517730483</v>
      </c>
      <c r="P37" s="491">
        <v>6836.8288465866681</v>
      </c>
      <c r="Q37" s="518">
        <f t="shared" si="50"/>
        <v>192.86635607999688</v>
      </c>
      <c r="R37" s="568">
        <f t="shared" si="51"/>
        <v>65.947463999999997</v>
      </c>
      <c r="S37" s="569">
        <f t="shared" si="72"/>
        <v>9633.0399999999991</v>
      </c>
      <c r="T37" s="573">
        <f t="shared" ref="T37:T38" si="87">S37*0.15</f>
        <v>1444.9559999999999</v>
      </c>
      <c r="U37" s="569">
        <f t="shared" si="53"/>
        <v>8122.1365359999982</v>
      </c>
      <c r="V37" s="569">
        <f t="shared" si="54"/>
        <v>19266.079999999998</v>
      </c>
      <c r="W37" s="570">
        <f t="shared" ref="W37:W38" si="88">(V37-10000)*0.2+(10000-S37)*0.15</f>
        <v>1908.2599999999998</v>
      </c>
      <c r="X37" s="569">
        <f t="shared" si="55"/>
        <v>7658.8325359999981</v>
      </c>
      <c r="Y37" s="569">
        <f t="shared" si="73"/>
        <v>28899.119999999995</v>
      </c>
      <c r="Z37" s="571">
        <f>(Y37-25000)*0.27+(25000-V37)*0.2</f>
        <v>2199.5463999999993</v>
      </c>
      <c r="AA37" s="569">
        <f t="shared" si="57"/>
        <v>7367.546135999999</v>
      </c>
      <c r="AB37" s="569">
        <f t="shared" si="74"/>
        <v>38532.159999999996</v>
      </c>
      <c r="AC37" s="571">
        <f t="shared" si="58"/>
        <v>2600.9207999999999</v>
      </c>
      <c r="AD37" s="569">
        <f t="shared" si="59"/>
        <v>6966.1717359999984</v>
      </c>
      <c r="AE37" s="569">
        <f t="shared" si="75"/>
        <v>48165.2</v>
      </c>
      <c r="AF37" s="571">
        <f t="shared" si="76"/>
        <v>2600.9207999999999</v>
      </c>
      <c r="AG37" s="569">
        <f t="shared" si="60"/>
        <v>6966.1717359999984</v>
      </c>
      <c r="AH37" s="569">
        <f t="shared" si="77"/>
        <v>57798.239999999991</v>
      </c>
      <c r="AI37" s="571">
        <f t="shared" si="78"/>
        <v>2600.9207999999999</v>
      </c>
      <c r="AJ37" s="569">
        <f t="shared" si="61"/>
        <v>6966.1717359999984</v>
      </c>
      <c r="AK37" s="569">
        <f t="shared" si="79"/>
        <v>67431.28</v>
      </c>
      <c r="AL37" s="571">
        <f>H37*0.27</f>
        <v>2600.9207999999999</v>
      </c>
      <c r="AM37" s="569">
        <f t="shared" si="62"/>
        <v>6966.1717359999984</v>
      </c>
      <c r="AN37" s="569">
        <f t="shared" si="80"/>
        <v>77064.319999999992</v>
      </c>
      <c r="AO37" s="571">
        <f>H37*0.27</f>
        <v>2600.9207999999999</v>
      </c>
      <c r="AP37" s="569">
        <f t="shared" si="63"/>
        <v>6966.1717359999984</v>
      </c>
      <c r="AQ37" s="569">
        <f t="shared" si="81"/>
        <v>86697.359999999986</v>
      </c>
      <c r="AR37" s="571">
        <f>H37*0.27</f>
        <v>2600.9207999999999</v>
      </c>
      <c r="AS37" s="569">
        <f t="shared" si="64"/>
        <v>6966.1717359999984</v>
      </c>
      <c r="AT37" s="569">
        <f t="shared" si="82"/>
        <v>96330.4</v>
      </c>
      <c r="AU37" s="572">
        <f>(AT37-88000)*0.35+(88000-AQ37)*0.27</f>
        <v>3267.3528000000015</v>
      </c>
      <c r="AV37" s="569">
        <f t="shared" si="65"/>
        <v>6299.7397359999968</v>
      </c>
      <c r="AW37" s="569">
        <f t="shared" si="83"/>
        <v>105963.43999999999</v>
      </c>
      <c r="AX37" s="572">
        <f t="shared" si="66"/>
        <v>3371.5639999999994</v>
      </c>
      <c r="AY37" s="569">
        <f t="shared" si="67"/>
        <v>6195.5285359999989</v>
      </c>
      <c r="AZ37" s="569">
        <f t="shared" si="84"/>
        <v>115596.47999999998</v>
      </c>
      <c r="BA37" s="572">
        <f t="shared" si="68"/>
        <v>3371.5639999999994</v>
      </c>
      <c r="BB37" s="569">
        <f t="shared" si="69"/>
        <v>6195.5285359999989</v>
      </c>
      <c r="BC37" s="292"/>
      <c r="BE37" s="358"/>
    </row>
    <row r="38" spans="1:57" ht="73.5" customHeight="1" x14ac:dyDescent="0.5">
      <c r="A38" s="716"/>
      <c r="B38" s="503" t="s">
        <v>224</v>
      </c>
      <c r="C38" s="487">
        <v>300</v>
      </c>
      <c r="D38" s="488">
        <v>4996.0199999999995</v>
      </c>
      <c r="E38" s="488">
        <v>9992.0399999999991</v>
      </c>
      <c r="F38" s="488">
        <f t="shared" si="48"/>
        <v>14988.059999999998</v>
      </c>
      <c r="G38" s="517">
        <v>359</v>
      </c>
      <c r="H38" s="277">
        <f t="shared" si="70"/>
        <v>6535.507599999999</v>
      </c>
      <c r="I38" s="494">
        <v>0.19</v>
      </c>
      <c r="J38" s="490">
        <v>4900</v>
      </c>
      <c r="K38" s="491">
        <f t="shared" si="27"/>
        <v>4972.9167978399992</v>
      </c>
      <c r="L38" s="491">
        <v>4890.514842049598</v>
      </c>
      <c r="M38" s="491">
        <f t="shared" si="49"/>
        <v>-82.401955790401189</v>
      </c>
      <c r="N38" s="491"/>
      <c r="O38" s="491">
        <f t="shared" si="71"/>
        <v>5290.3370189787229</v>
      </c>
      <c r="P38" s="491">
        <v>4890.514842049598</v>
      </c>
      <c r="Q38" s="518">
        <f t="shared" si="50"/>
        <v>82.401955790401189</v>
      </c>
      <c r="R38" s="568">
        <f t="shared" si="51"/>
        <v>45.503750159999996</v>
      </c>
      <c r="S38" s="569">
        <f t="shared" si="72"/>
        <v>6535.507599999999</v>
      </c>
      <c r="T38" s="573">
        <f t="shared" si="87"/>
        <v>980.32613999999978</v>
      </c>
      <c r="U38" s="569">
        <f t="shared" si="53"/>
        <v>5509.6777098399989</v>
      </c>
      <c r="V38" s="569">
        <f t="shared" si="54"/>
        <v>13071.015199999998</v>
      </c>
      <c r="W38" s="570">
        <f t="shared" si="88"/>
        <v>1133.8768999999998</v>
      </c>
      <c r="X38" s="569">
        <f t="shared" si="55"/>
        <v>5356.1269498399997</v>
      </c>
      <c r="Y38" s="569">
        <f t="shared" si="73"/>
        <v>19606.522799999999</v>
      </c>
      <c r="Z38" s="570">
        <f>S38*0.2</f>
        <v>1307.1015199999999</v>
      </c>
      <c r="AA38" s="569">
        <f t="shared" si="57"/>
        <v>5182.9023298399989</v>
      </c>
      <c r="AB38" s="569">
        <f t="shared" si="74"/>
        <v>26142.030399999996</v>
      </c>
      <c r="AC38" s="571">
        <f>(AB38-25000)*0.27+(25000-Y38)*0.2</f>
        <v>1387.0436479999992</v>
      </c>
      <c r="AD38" s="569">
        <f t="shared" si="59"/>
        <v>5102.9602018400001</v>
      </c>
      <c r="AE38" s="569">
        <f t="shared" si="75"/>
        <v>32677.537999999993</v>
      </c>
      <c r="AF38" s="571">
        <f t="shared" si="76"/>
        <v>1764.5870519999999</v>
      </c>
      <c r="AG38" s="569">
        <f t="shared" si="60"/>
        <v>4725.4167978399992</v>
      </c>
      <c r="AH38" s="569">
        <f t="shared" si="77"/>
        <v>39213.045599999998</v>
      </c>
      <c r="AI38" s="571">
        <f t="shared" si="78"/>
        <v>1764.5870519999999</v>
      </c>
      <c r="AJ38" s="569">
        <f t="shared" si="61"/>
        <v>4725.4167978399992</v>
      </c>
      <c r="AK38" s="569">
        <f t="shared" si="79"/>
        <v>45748.553199999995</v>
      </c>
      <c r="AL38" s="571">
        <f>H38*0.27</f>
        <v>1764.5870519999999</v>
      </c>
      <c r="AM38" s="569">
        <f t="shared" si="62"/>
        <v>4725.4167978399992</v>
      </c>
      <c r="AN38" s="569">
        <f t="shared" si="80"/>
        <v>52284.060799999992</v>
      </c>
      <c r="AO38" s="571">
        <f>H38*0.27</f>
        <v>1764.5870519999999</v>
      </c>
      <c r="AP38" s="569">
        <f t="shared" si="63"/>
        <v>4725.4167978399992</v>
      </c>
      <c r="AQ38" s="569">
        <f t="shared" si="81"/>
        <v>58819.568399999989</v>
      </c>
      <c r="AR38" s="571">
        <f>H38*0.27</f>
        <v>1764.5870519999999</v>
      </c>
      <c r="AS38" s="569">
        <f t="shared" si="64"/>
        <v>4725.4167978399992</v>
      </c>
      <c r="AT38" s="569">
        <f t="shared" si="82"/>
        <v>65355.075999999986</v>
      </c>
      <c r="AU38" s="571">
        <f>H38*0.27</f>
        <v>1764.5870519999999</v>
      </c>
      <c r="AV38" s="569">
        <f t="shared" si="65"/>
        <v>4725.4167978399992</v>
      </c>
      <c r="AW38" s="569">
        <f t="shared" si="83"/>
        <v>71890.583599999984</v>
      </c>
      <c r="AX38" s="571">
        <f>H38*0.27</f>
        <v>1764.5870519999999</v>
      </c>
      <c r="AY38" s="569">
        <f t="shared" si="67"/>
        <v>4725.4167978399992</v>
      </c>
      <c r="AZ38" s="569">
        <f t="shared" si="84"/>
        <v>78426.091199999995</v>
      </c>
      <c r="BA38" s="571">
        <f>H38*0.27</f>
        <v>1764.5870519999999</v>
      </c>
      <c r="BB38" s="569">
        <f t="shared" si="69"/>
        <v>4725.4167978399992</v>
      </c>
      <c r="BC38" s="292"/>
      <c r="BE38" s="358"/>
    </row>
    <row r="39" spans="1:57" ht="73.5" customHeight="1" x14ac:dyDescent="0.5">
      <c r="A39" s="716" t="s">
        <v>29</v>
      </c>
      <c r="B39" s="227" t="s">
        <v>221</v>
      </c>
      <c r="C39" s="492">
        <v>600</v>
      </c>
      <c r="D39" s="493">
        <v>4996.0199999999995</v>
      </c>
      <c r="E39" s="493">
        <v>19984.079999999998</v>
      </c>
      <c r="F39" s="493">
        <f t="shared" si="48"/>
        <v>24980.1</v>
      </c>
      <c r="G39" s="517">
        <v>359</v>
      </c>
      <c r="H39" s="277">
        <f t="shared" si="70"/>
        <v>17426.831199999997</v>
      </c>
      <c r="I39" s="489">
        <v>0.64</v>
      </c>
      <c r="J39" s="490">
        <v>11600</v>
      </c>
      <c r="K39" s="491">
        <f t="shared" si="27"/>
        <v>12044.220460746665</v>
      </c>
      <c r="L39" s="491">
        <v>11308.756756228262</v>
      </c>
      <c r="M39" s="491">
        <f t="shared" si="49"/>
        <v>-735.46370451840266</v>
      </c>
      <c r="N39" s="491"/>
      <c r="O39" s="491">
        <f t="shared" si="71"/>
        <v>12813.000490156028</v>
      </c>
      <c r="P39" s="491">
        <v>11550.482589181869</v>
      </c>
      <c r="Q39" s="518">
        <f t="shared" si="50"/>
        <v>493.73787156479557</v>
      </c>
      <c r="R39" s="568">
        <f t="shared" si="51"/>
        <v>117.38648591999998</v>
      </c>
      <c r="S39" s="569">
        <f t="shared" si="72"/>
        <v>17426.831199999997</v>
      </c>
      <c r="T39" s="570">
        <f t="shared" si="52"/>
        <v>2985.3662399999994</v>
      </c>
      <c r="U39" s="569">
        <f t="shared" si="53"/>
        <v>14324.078474079997</v>
      </c>
      <c r="V39" s="569">
        <f t="shared" si="54"/>
        <v>34853.662399999994</v>
      </c>
      <c r="W39" s="571">
        <f>(V39-25000)*0.27+(25000-S39)*0.2</f>
        <v>4175.1226079999997</v>
      </c>
      <c r="X39" s="569">
        <f t="shared" si="55"/>
        <v>13134.322106079997</v>
      </c>
      <c r="Y39" s="569">
        <f t="shared" si="73"/>
        <v>52280.493599999987</v>
      </c>
      <c r="Z39" s="571">
        <f t="shared" ref="Z39:Z41" si="89">S39*0.27</f>
        <v>4705.2444239999995</v>
      </c>
      <c r="AA39" s="569">
        <f t="shared" si="57"/>
        <v>12604.200290079996</v>
      </c>
      <c r="AB39" s="569">
        <f t="shared" si="74"/>
        <v>69707.324799999988</v>
      </c>
      <c r="AC39" s="571">
        <f t="shared" ref="AC39:AC45" si="90">H39*0.27</f>
        <v>4705.2444239999995</v>
      </c>
      <c r="AD39" s="569">
        <f t="shared" si="59"/>
        <v>12604.200290079996</v>
      </c>
      <c r="AE39" s="569">
        <f t="shared" si="75"/>
        <v>87134.155999999988</v>
      </c>
      <c r="AF39" s="571">
        <f t="shared" si="76"/>
        <v>4705.2444239999995</v>
      </c>
      <c r="AG39" s="569">
        <f t="shared" si="60"/>
        <v>12604.200290079996</v>
      </c>
      <c r="AH39" s="569">
        <f t="shared" si="77"/>
        <v>104560.98719999997</v>
      </c>
      <c r="AI39" s="572">
        <f>(AH39-88000)*0.35+(88000-AE39)*0.27</f>
        <v>6030.123399999994</v>
      </c>
      <c r="AJ39" s="569">
        <f t="shared" si="61"/>
        <v>11279.321314080004</v>
      </c>
      <c r="AK39" s="569">
        <f t="shared" si="79"/>
        <v>121987.81839999997</v>
      </c>
      <c r="AL39" s="572">
        <f>H39*0.35</f>
        <v>6099.3909199999989</v>
      </c>
      <c r="AM39" s="569">
        <f t="shared" si="62"/>
        <v>11210.053794079999</v>
      </c>
      <c r="AN39" s="569">
        <f t="shared" si="80"/>
        <v>139414.64959999998</v>
      </c>
      <c r="AO39" s="572">
        <f>H39*0.35</f>
        <v>6099.3909199999989</v>
      </c>
      <c r="AP39" s="569">
        <f t="shared" si="63"/>
        <v>11210.053794079999</v>
      </c>
      <c r="AQ39" s="569">
        <f t="shared" si="81"/>
        <v>156841.48079999996</v>
      </c>
      <c r="AR39" s="572">
        <f>H39*0.35</f>
        <v>6099.3909199999989</v>
      </c>
      <c r="AS39" s="569">
        <f t="shared" si="64"/>
        <v>11210.053794079999</v>
      </c>
      <c r="AT39" s="569">
        <f t="shared" si="82"/>
        <v>174268.31199999998</v>
      </c>
      <c r="AU39" s="572">
        <f>H39*0.35</f>
        <v>6099.3909199999989</v>
      </c>
      <c r="AV39" s="569">
        <f t="shared" si="65"/>
        <v>11210.053794079999</v>
      </c>
      <c r="AW39" s="569">
        <f t="shared" si="83"/>
        <v>191695.14319999996</v>
      </c>
      <c r="AX39" s="572">
        <f t="shared" ref="AX39:AX45" si="91">H39*0.35</f>
        <v>6099.3909199999989</v>
      </c>
      <c r="AY39" s="569">
        <f t="shared" si="67"/>
        <v>11210.053794079999</v>
      </c>
      <c r="AZ39" s="569">
        <f t="shared" si="84"/>
        <v>209121.97439999995</v>
      </c>
      <c r="BA39" s="572">
        <f t="shared" ref="BA39:BA49" si="92">H39*0.35</f>
        <v>6099.3909199999989</v>
      </c>
      <c r="BB39" s="569">
        <f t="shared" si="69"/>
        <v>11210.053794079999</v>
      </c>
      <c r="BC39" s="292"/>
      <c r="BE39" s="358"/>
    </row>
    <row r="40" spans="1:57" ht="73.5" customHeight="1" x14ac:dyDescent="0.5">
      <c r="A40" s="716"/>
      <c r="B40" s="227" t="s">
        <v>222</v>
      </c>
      <c r="C40" s="492">
        <v>600</v>
      </c>
      <c r="D40" s="493">
        <v>4996.0199999999995</v>
      </c>
      <c r="E40" s="493">
        <v>19984.079999999998</v>
      </c>
      <c r="F40" s="493">
        <f t="shared" si="48"/>
        <v>24980.1</v>
      </c>
      <c r="G40" s="517">
        <v>359</v>
      </c>
      <c r="H40" s="277">
        <f t="shared" si="70"/>
        <v>11231.7664</v>
      </c>
      <c r="I40" s="489">
        <v>0.33</v>
      </c>
      <c r="J40" s="490">
        <v>7900</v>
      </c>
      <c r="K40" s="491">
        <f t="shared" si="27"/>
        <v>8045.9548937600021</v>
      </c>
      <c r="L40" s="491">
        <v>7803.7321784010674</v>
      </c>
      <c r="M40" s="491">
        <f t="shared" si="49"/>
        <v>-242.22271535893469</v>
      </c>
      <c r="N40" s="491"/>
      <c r="O40" s="491">
        <f t="shared" si="71"/>
        <v>8559.5264827234078</v>
      </c>
      <c r="P40" s="491">
        <v>7803.7321784010674</v>
      </c>
      <c r="Q40" s="518">
        <f t="shared" si="50"/>
        <v>242.22271535893469</v>
      </c>
      <c r="R40" s="568">
        <f t="shared" si="51"/>
        <v>76.499058239999997</v>
      </c>
      <c r="S40" s="569">
        <f t="shared" si="72"/>
        <v>11231.7664</v>
      </c>
      <c r="T40" s="570">
        <f t="shared" si="52"/>
        <v>1746.35328</v>
      </c>
      <c r="U40" s="569">
        <f t="shared" si="53"/>
        <v>9408.9140617600005</v>
      </c>
      <c r="V40" s="569">
        <f t="shared" si="54"/>
        <v>22463.532800000001</v>
      </c>
      <c r="W40" s="570">
        <f>H40*0.2</f>
        <v>2246.3532800000003</v>
      </c>
      <c r="X40" s="569">
        <f t="shared" si="55"/>
        <v>8908.9140617599987</v>
      </c>
      <c r="Y40" s="569">
        <f t="shared" si="73"/>
        <v>33695.299200000001</v>
      </c>
      <c r="Z40" s="571">
        <f t="shared" ref="Z40:Z45" si="93">(Y40-25000)*0.27+(25000-V40)*0.2</f>
        <v>2855.0242240000002</v>
      </c>
      <c r="AA40" s="569">
        <f t="shared" si="57"/>
        <v>8300.2431177599992</v>
      </c>
      <c r="AB40" s="569">
        <f t="shared" si="74"/>
        <v>44927.065600000002</v>
      </c>
      <c r="AC40" s="571">
        <f t="shared" si="90"/>
        <v>3032.5769280000004</v>
      </c>
      <c r="AD40" s="569">
        <f t="shared" si="59"/>
        <v>8122.6904137599995</v>
      </c>
      <c r="AE40" s="569">
        <f t="shared" si="75"/>
        <v>56158.832000000002</v>
      </c>
      <c r="AF40" s="571">
        <f t="shared" si="76"/>
        <v>3032.5769280000004</v>
      </c>
      <c r="AG40" s="569">
        <f t="shared" si="60"/>
        <v>8122.6904137599995</v>
      </c>
      <c r="AH40" s="569">
        <f t="shared" si="77"/>
        <v>67390.598400000003</v>
      </c>
      <c r="AI40" s="571">
        <f t="shared" ref="AI40:AI52" si="94">H40*0.27</f>
        <v>3032.5769280000004</v>
      </c>
      <c r="AJ40" s="569">
        <f t="shared" si="61"/>
        <v>8122.6904137599995</v>
      </c>
      <c r="AK40" s="569">
        <f t="shared" si="79"/>
        <v>78622.36480000001</v>
      </c>
      <c r="AL40" s="571">
        <f>H40*0.27</f>
        <v>3032.5769280000004</v>
      </c>
      <c r="AM40" s="569">
        <f t="shared" si="62"/>
        <v>8122.6904137599995</v>
      </c>
      <c r="AN40" s="569">
        <f t="shared" si="80"/>
        <v>89854.131200000003</v>
      </c>
      <c r="AO40" s="572">
        <f>(AN40-88000)*0.35+(88000-AK40)*0.27</f>
        <v>3180.9074239999986</v>
      </c>
      <c r="AP40" s="569">
        <f t="shared" si="63"/>
        <v>7974.3599177600008</v>
      </c>
      <c r="AQ40" s="569">
        <f t="shared" si="81"/>
        <v>101085.8976</v>
      </c>
      <c r="AR40" s="572">
        <f>(AQ40-88000)*0.35+(88000-AN40)*0.27</f>
        <v>4079.4487359999971</v>
      </c>
      <c r="AS40" s="569">
        <f t="shared" si="64"/>
        <v>7075.8186057600033</v>
      </c>
      <c r="AT40" s="569">
        <f t="shared" si="82"/>
        <v>112317.664</v>
      </c>
      <c r="AU40" s="572">
        <f>H40*0.35</f>
        <v>3931.1182399999998</v>
      </c>
      <c r="AV40" s="569">
        <f t="shared" si="65"/>
        <v>7224.1491017600001</v>
      </c>
      <c r="AW40" s="569">
        <f t="shared" si="83"/>
        <v>123549.43040000001</v>
      </c>
      <c r="AX40" s="572">
        <f t="shared" si="91"/>
        <v>3931.1182399999998</v>
      </c>
      <c r="AY40" s="569">
        <f t="shared" si="67"/>
        <v>7224.1491017600001</v>
      </c>
      <c r="AZ40" s="569">
        <f t="shared" si="84"/>
        <v>134781.19680000001</v>
      </c>
      <c r="BA40" s="572">
        <f t="shared" si="92"/>
        <v>3931.1182399999998</v>
      </c>
      <c r="BB40" s="569">
        <f t="shared" si="69"/>
        <v>7224.1491017600001</v>
      </c>
      <c r="BC40" s="292"/>
      <c r="BE40" s="358"/>
    </row>
    <row r="41" spans="1:57" ht="73.5" customHeight="1" x14ac:dyDescent="0.5">
      <c r="A41" s="716"/>
      <c r="B41" s="287" t="s">
        <v>32</v>
      </c>
      <c r="C41" s="487">
        <v>450</v>
      </c>
      <c r="D41" s="488">
        <v>4996.0199999999995</v>
      </c>
      <c r="E41" s="488">
        <v>14988.06</v>
      </c>
      <c r="F41" s="488">
        <f t="shared" si="48"/>
        <v>19984.079999999998</v>
      </c>
      <c r="G41" s="517">
        <v>359</v>
      </c>
      <c r="H41" s="277">
        <f t="shared" si="70"/>
        <v>13180.214199999999</v>
      </c>
      <c r="I41" s="489">
        <v>0.56999999999999995</v>
      </c>
      <c r="J41" s="490">
        <v>9000</v>
      </c>
      <c r="K41" s="491">
        <f t="shared" si="27"/>
        <v>9283.537086946666</v>
      </c>
      <c r="L41" s="491">
        <v>8800.8512393346664</v>
      </c>
      <c r="M41" s="491">
        <f t="shared" si="49"/>
        <v>-482.68584761199963</v>
      </c>
      <c r="N41" s="491"/>
      <c r="O41" s="491">
        <f t="shared" si="71"/>
        <v>9876.1032839858162</v>
      </c>
      <c r="P41" s="491">
        <v>8982.1456140498685</v>
      </c>
      <c r="Q41" s="518">
        <f t="shared" si="50"/>
        <v>301.3914728967975</v>
      </c>
      <c r="R41" s="568">
        <f t="shared" si="51"/>
        <v>89.358813719999986</v>
      </c>
      <c r="S41" s="569">
        <f t="shared" si="72"/>
        <v>13180.214199999999</v>
      </c>
      <c r="T41" s="570">
        <f t="shared" si="52"/>
        <v>2136.0428399999996</v>
      </c>
      <c r="U41" s="569">
        <f t="shared" si="53"/>
        <v>10954.812546279998</v>
      </c>
      <c r="V41" s="569">
        <f t="shared" si="54"/>
        <v>26360.428399999997</v>
      </c>
      <c r="W41" s="571">
        <f>(V41-25000)*0.27+(25000-S41)*0.2</f>
        <v>2731.2728279999997</v>
      </c>
      <c r="X41" s="569">
        <f t="shared" si="55"/>
        <v>10359.582558279999</v>
      </c>
      <c r="Y41" s="569">
        <f t="shared" si="73"/>
        <v>39540.642599999992</v>
      </c>
      <c r="Z41" s="571">
        <f t="shared" si="89"/>
        <v>3558.6578339999996</v>
      </c>
      <c r="AA41" s="569">
        <f t="shared" si="57"/>
        <v>9532.1975522799985</v>
      </c>
      <c r="AB41" s="569">
        <f t="shared" si="74"/>
        <v>52720.856799999994</v>
      </c>
      <c r="AC41" s="571">
        <f t="shared" si="90"/>
        <v>3558.6578339999996</v>
      </c>
      <c r="AD41" s="569">
        <f t="shared" si="59"/>
        <v>9532.1975522799985</v>
      </c>
      <c r="AE41" s="569">
        <f t="shared" si="75"/>
        <v>65901.070999999996</v>
      </c>
      <c r="AF41" s="571">
        <f t="shared" si="76"/>
        <v>3558.6578339999996</v>
      </c>
      <c r="AG41" s="569">
        <f t="shared" si="60"/>
        <v>9532.1975522799985</v>
      </c>
      <c r="AH41" s="569">
        <f t="shared" si="77"/>
        <v>79081.285199999984</v>
      </c>
      <c r="AI41" s="571">
        <f t="shared" si="94"/>
        <v>3558.6578339999996</v>
      </c>
      <c r="AJ41" s="569">
        <f t="shared" si="61"/>
        <v>9532.1975522799985</v>
      </c>
      <c r="AK41" s="569">
        <f t="shared" si="79"/>
        <v>92261.499399999986</v>
      </c>
      <c r="AL41" s="572">
        <f>(AK41-88000)*0.35+(88000-AH41)*0.27</f>
        <v>3899.5777859999994</v>
      </c>
      <c r="AM41" s="569">
        <f t="shared" si="62"/>
        <v>9191.2776002799983</v>
      </c>
      <c r="AN41" s="569">
        <f t="shared" si="80"/>
        <v>105441.71359999999</v>
      </c>
      <c r="AO41" s="572">
        <f>(AN41-88000)*0.35+(88000-AK41)*0.27</f>
        <v>4953.994921999999</v>
      </c>
      <c r="AP41" s="569">
        <f t="shared" si="63"/>
        <v>8136.8604642799992</v>
      </c>
      <c r="AQ41" s="569">
        <f t="shared" si="81"/>
        <v>118621.92779999999</v>
      </c>
      <c r="AR41" s="572">
        <f>H41*0.35</f>
        <v>4613.0749699999988</v>
      </c>
      <c r="AS41" s="569">
        <f t="shared" si="64"/>
        <v>8477.7804162799985</v>
      </c>
      <c r="AT41" s="569">
        <f t="shared" si="82"/>
        <v>131802.14199999999</v>
      </c>
      <c r="AU41" s="572">
        <f>H41*0.35</f>
        <v>4613.0749699999988</v>
      </c>
      <c r="AV41" s="569">
        <f t="shared" si="65"/>
        <v>8477.7804162799985</v>
      </c>
      <c r="AW41" s="569">
        <f t="shared" si="83"/>
        <v>144982.35619999998</v>
      </c>
      <c r="AX41" s="572">
        <f t="shared" si="91"/>
        <v>4613.0749699999988</v>
      </c>
      <c r="AY41" s="569">
        <f t="shared" si="67"/>
        <v>8477.7804162799985</v>
      </c>
      <c r="AZ41" s="569">
        <f t="shared" si="84"/>
        <v>158162.57039999997</v>
      </c>
      <c r="BA41" s="572">
        <f t="shared" si="92"/>
        <v>4613.0749699999988</v>
      </c>
      <c r="BB41" s="569">
        <f t="shared" si="69"/>
        <v>8477.7804162799985</v>
      </c>
      <c r="BC41" s="292"/>
      <c r="BE41" s="358"/>
    </row>
    <row r="42" spans="1:57" ht="73.5" customHeight="1" x14ac:dyDescent="0.5">
      <c r="A42" s="716"/>
      <c r="B42" s="287" t="s">
        <v>237</v>
      </c>
      <c r="C42" s="487">
        <v>450</v>
      </c>
      <c r="D42" s="488">
        <v>4996.0199999999995</v>
      </c>
      <c r="E42" s="488">
        <v>14988.06</v>
      </c>
      <c r="F42" s="488">
        <f t="shared" si="48"/>
        <v>19984.079999999998</v>
      </c>
      <c r="G42" s="517">
        <v>359</v>
      </c>
      <c r="H42" s="277">
        <f t="shared" si="70"/>
        <v>11531.527599999999</v>
      </c>
      <c r="I42" s="489">
        <v>0.46</v>
      </c>
      <c r="J42" s="490">
        <v>8000</v>
      </c>
      <c r="K42" s="491">
        <f t="shared" si="27"/>
        <v>8251.182124506664</v>
      </c>
      <c r="L42" s="491">
        <v>7803.7321784010674</v>
      </c>
      <c r="M42" s="491">
        <f t="shared" si="49"/>
        <v>-447.44994610559661</v>
      </c>
      <c r="N42" s="491"/>
      <c r="O42" s="491">
        <f t="shared" si="71"/>
        <v>8777.85332394326</v>
      </c>
      <c r="P42" s="491">
        <v>7985.0265531162659</v>
      </c>
      <c r="Q42" s="518">
        <f t="shared" si="50"/>
        <v>266.15557139039811</v>
      </c>
      <c r="R42" s="568">
        <f t="shared" si="51"/>
        <v>78.477482159999994</v>
      </c>
      <c r="S42" s="569">
        <f t="shared" si="72"/>
        <v>11531.527599999999</v>
      </c>
      <c r="T42" s="570">
        <f t="shared" si="52"/>
        <v>1806.3055199999999</v>
      </c>
      <c r="U42" s="569">
        <f t="shared" si="53"/>
        <v>9646.7445978399992</v>
      </c>
      <c r="V42" s="569">
        <f t="shared" si="54"/>
        <v>23063.055199999999</v>
      </c>
      <c r="W42" s="570">
        <f>H42*0.2</f>
        <v>2306.3055199999999</v>
      </c>
      <c r="X42" s="569">
        <f t="shared" si="55"/>
        <v>9146.7445978399992</v>
      </c>
      <c r="Y42" s="569">
        <f t="shared" si="73"/>
        <v>34594.582799999996</v>
      </c>
      <c r="Z42" s="571">
        <f t="shared" si="93"/>
        <v>2977.9263159999996</v>
      </c>
      <c r="AA42" s="569">
        <f t="shared" si="57"/>
        <v>8475.1238018399999</v>
      </c>
      <c r="AB42" s="569">
        <f t="shared" si="74"/>
        <v>46126.110399999998</v>
      </c>
      <c r="AC42" s="571">
        <f t="shared" si="90"/>
        <v>3113.5124519999999</v>
      </c>
      <c r="AD42" s="569">
        <f t="shared" si="59"/>
        <v>8339.5376658399982</v>
      </c>
      <c r="AE42" s="569">
        <f t="shared" si="75"/>
        <v>57657.637999999999</v>
      </c>
      <c r="AF42" s="571">
        <f t="shared" si="76"/>
        <v>3113.5124519999999</v>
      </c>
      <c r="AG42" s="569">
        <f t="shared" si="60"/>
        <v>8339.5376658399982</v>
      </c>
      <c r="AH42" s="569">
        <f t="shared" si="77"/>
        <v>69189.165599999993</v>
      </c>
      <c r="AI42" s="571">
        <f t="shared" si="94"/>
        <v>3113.5124519999999</v>
      </c>
      <c r="AJ42" s="569">
        <f t="shared" si="61"/>
        <v>8339.5376658399982</v>
      </c>
      <c r="AK42" s="569">
        <f t="shared" si="79"/>
        <v>80720.693199999994</v>
      </c>
      <c r="AL42" s="571">
        <f t="shared" ref="AL42:AL53" si="95">H42*0.27</f>
        <v>3113.5124519999999</v>
      </c>
      <c r="AM42" s="569">
        <f t="shared" si="62"/>
        <v>8339.5376658399982</v>
      </c>
      <c r="AN42" s="569">
        <f t="shared" si="80"/>
        <v>92252.220799999996</v>
      </c>
      <c r="AO42" s="572">
        <f>(AN42-88000)*0.35+(88000-AK42)*0.27</f>
        <v>3453.6901160000002</v>
      </c>
      <c r="AP42" s="569">
        <f t="shared" si="63"/>
        <v>7999.3600018399993</v>
      </c>
      <c r="AQ42" s="569">
        <f t="shared" si="81"/>
        <v>103783.7484</v>
      </c>
      <c r="AR42" s="572">
        <f>H42*0.35</f>
        <v>4036.0346599999993</v>
      </c>
      <c r="AS42" s="569">
        <f t="shared" si="64"/>
        <v>7417.0154578399997</v>
      </c>
      <c r="AT42" s="569">
        <f t="shared" si="82"/>
        <v>115315.276</v>
      </c>
      <c r="AU42" s="572">
        <f>H42*0.35</f>
        <v>4036.0346599999993</v>
      </c>
      <c r="AV42" s="569">
        <f t="shared" si="65"/>
        <v>7417.0154578399997</v>
      </c>
      <c r="AW42" s="569">
        <f t="shared" si="83"/>
        <v>126846.8036</v>
      </c>
      <c r="AX42" s="572">
        <f t="shared" si="91"/>
        <v>4036.0346599999993</v>
      </c>
      <c r="AY42" s="569">
        <f t="shared" si="67"/>
        <v>7417.0154578399997</v>
      </c>
      <c r="AZ42" s="569">
        <f t="shared" si="84"/>
        <v>138378.33119999999</v>
      </c>
      <c r="BA42" s="572">
        <f t="shared" si="92"/>
        <v>4036.0346599999993</v>
      </c>
      <c r="BB42" s="569">
        <f t="shared" si="69"/>
        <v>7417.0154578399997</v>
      </c>
      <c r="BC42" s="292"/>
      <c r="BE42" s="358"/>
    </row>
    <row r="43" spans="1:57" ht="73.5" customHeight="1" x14ac:dyDescent="0.5">
      <c r="A43" s="716"/>
      <c r="B43" s="287" t="s">
        <v>225</v>
      </c>
      <c r="C43" s="487">
        <v>450</v>
      </c>
      <c r="D43" s="488">
        <v>4996.0199999999995</v>
      </c>
      <c r="E43" s="488">
        <v>14988.06</v>
      </c>
      <c r="F43" s="488">
        <f t="shared" si="48"/>
        <v>19984.079999999998</v>
      </c>
      <c r="G43" s="517">
        <v>359</v>
      </c>
      <c r="H43" s="277">
        <f t="shared" si="70"/>
        <v>9882.8410000000003</v>
      </c>
      <c r="I43" s="489">
        <v>0.35</v>
      </c>
      <c r="J43" s="490">
        <v>7000</v>
      </c>
      <c r="K43" s="491">
        <f t="shared" si="27"/>
        <v>7190.417166066668</v>
      </c>
      <c r="L43" s="491">
        <v>6897.2603048250676</v>
      </c>
      <c r="M43" s="491">
        <f t="shared" si="49"/>
        <v>-293.15686124160038</v>
      </c>
      <c r="N43" s="491"/>
      <c r="O43" s="491">
        <f t="shared" si="71"/>
        <v>7649.3799639007111</v>
      </c>
      <c r="P43" s="491">
        <v>6987.907492182665</v>
      </c>
      <c r="Q43" s="518">
        <f t="shared" si="50"/>
        <v>202.50967388400295</v>
      </c>
      <c r="R43" s="568">
        <f t="shared" si="51"/>
        <v>67.596150600000001</v>
      </c>
      <c r="S43" s="569">
        <f t="shared" si="72"/>
        <v>9882.8410000000003</v>
      </c>
      <c r="T43" s="573">
        <f t="shared" ref="T43:T54" si="96">S43*0.15</f>
        <v>1482.42615</v>
      </c>
      <c r="U43" s="569">
        <f t="shared" si="53"/>
        <v>8332.8186994000007</v>
      </c>
      <c r="V43" s="569">
        <f t="shared" si="54"/>
        <v>19765.682000000001</v>
      </c>
      <c r="W43" s="570">
        <f t="shared" ref="W43:W52" si="97">(V43-10000)*0.2+(10000-S43)*0.15</f>
        <v>1970.7102500000003</v>
      </c>
      <c r="X43" s="569">
        <f t="shared" si="55"/>
        <v>7844.5345993999999</v>
      </c>
      <c r="Y43" s="569">
        <f t="shared" si="73"/>
        <v>29648.523000000001</v>
      </c>
      <c r="Z43" s="571">
        <f t="shared" si="93"/>
        <v>2301.9648100000004</v>
      </c>
      <c r="AA43" s="569">
        <f t="shared" si="57"/>
        <v>7513.2800393999996</v>
      </c>
      <c r="AB43" s="569">
        <f t="shared" si="74"/>
        <v>39531.364000000001</v>
      </c>
      <c r="AC43" s="571">
        <f t="shared" si="90"/>
        <v>2668.3670700000002</v>
      </c>
      <c r="AD43" s="569">
        <f t="shared" si="59"/>
        <v>7146.8777793999998</v>
      </c>
      <c r="AE43" s="569">
        <f t="shared" si="75"/>
        <v>49414.205000000002</v>
      </c>
      <c r="AF43" s="571">
        <f t="shared" si="76"/>
        <v>2668.3670700000002</v>
      </c>
      <c r="AG43" s="569">
        <f t="shared" si="60"/>
        <v>7146.8777793999998</v>
      </c>
      <c r="AH43" s="569">
        <f t="shared" si="77"/>
        <v>59297.046000000002</v>
      </c>
      <c r="AI43" s="571">
        <f t="shared" si="94"/>
        <v>2668.3670700000002</v>
      </c>
      <c r="AJ43" s="569">
        <f t="shared" si="61"/>
        <v>7146.8777793999998</v>
      </c>
      <c r="AK43" s="569">
        <f t="shared" si="79"/>
        <v>69179.887000000002</v>
      </c>
      <c r="AL43" s="571">
        <f t="shared" si="95"/>
        <v>2668.3670700000002</v>
      </c>
      <c r="AM43" s="569">
        <f t="shared" si="62"/>
        <v>7146.8777793999998</v>
      </c>
      <c r="AN43" s="569">
        <f t="shared" si="80"/>
        <v>79062.728000000003</v>
      </c>
      <c r="AO43" s="571">
        <f t="shared" ref="AO43:AO54" si="98">H43*0.27</f>
        <v>2668.3670700000002</v>
      </c>
      <c r="AP43" s="569">
        <f t="shared" si="63"/>
        <v>7146.8777793999998</v>
      </c>
      <c r="AQ43" s="569">
        <f t="shared" si="81"/>
        <v>88945.569000000003</v>
      </c>
      <c r="AR43" s="572">
        <f>(AQ43-88000)*0.35+(88000-AN43)*0.27</f>
        <v>2744.0125900000003</v>
      </c>
      <c r="AS43" s="569">
        <f t="shared" si="64"/>
        <v>7071.2322593999997</v>
      </c>
      <c r="AT43" s="569">
        <f t="shared" si="82"/>
        <v>98828.41</v>
      </c>
      <c r="AU43" s="572">
        <f>H43*0.35</f>
        <v>3458.9943499999999</v>
      </c>
      <c r="AV43" s="569">
        <f t="shared" si="65"/>
        <v>6356.2504994000001</v>
      </c>
      <c r="AW43" s="569">
        <f t="shared" si="83"/>
        <v>108711.251</v>
      </c>
      <c r="AX43" s="572">
        <f t="shared" si="91"/>
        <v>3458.9943499999999</v>
      </c>
      <c r="AY43" s="569">
        <f t="shared" si="67"/>
        <v>6356.2504994000001</v>
      </c>
      <c r="AZ43" s="569">
        <f t="shared" si="84"/>
        <v>118594.092</v>
      </c>
      <c r="BA43" s="572">
        <f t="shared" si="92"/>
        <v>3458.9943499999999</v>
      </c>
      <c r="BB43" s="569">
        <f t="shared" si="69"/>
        <v>6356.2504994000001</v>
      </c>
      <c r="BC43" s="292"/>
      <c r="BE43" s="358"/>
    </row>
    <row r="44" spans="1:57" ht="73.5" customHeight="1" x14ac:dyDescent="0.5">
      <c r="A44" s="716"/>
      <c r="B44" s="287" t="s">
        <v>243</v>
      </c>
      <c r="C44" s="487">
        <v>450</v>
      </c>
      <c r="D44" s="488">
        <v>4996.0199999999995</v>
      </c>
      <c r="E44" s="488">
        <v>14988.06</v>
      </c>
      <c r="F44" s="488">
        <f t="shared" si="48"/>
        <v>19984.079999999998</v>
      </c>
      <c r="G44" s="517">
        <v>359</v>
      </c>
      <c r="H44" s="277">
        <f t="shared" si="70"/>
        <v>9433.1991999999991</v>
      </c>
      <c r="I44" s="489">
        <v>0.32</v>
      </c>
      <c r="J44" s="490">
        <v>6700</v>
      </c>
      <c r="K44" s="491">
        <f t="shared" si="27"/>
        <v>6901.1176319466676</v>
      </c>
      <c r="L44" s="491">
        <v>6625.3187427522671</v>
      </c>
      <c r="M44" s="491">
        <f t="shared" si="49"/>
        <v>-275.79888919440054</v>
      </c>
      <c r="N44" s="491"/>
      <c r="O44" s="491">
        <f t="shared" si="71"/>
        <v>7341.6145020709237</v>
      </c>
      <c r="P44" s="491">
        <v>6715.9659301098663</v>
      </c>
      <c r="Q44" s="518">
        <f t="shared" si="50"/>
        <v>185.15170183680129</v>
      </c>
      <c r="R44" s="568">
        <f t="shared" si="51"/>
        <v>64.628514719999998</v>
      </c>
      <c r="S44" s="569">
        <f t="shared" si="72"/>
        <v>9433.1991999999991</v>
      </c>
      <c r="T44" s="573">
        <f t="shared" si="96"/>
        <v>1414.9798799999999</v>
      </c>
      <c r="U44" s="569">
        <f t="shared" si="53"/>
        <v>7953.5908052799996</v>
      </c>
      <c r="V44" s="569">
        <f t="shared" si="54"/>
        <v>18866.398399999998</v>
      </c>
      <c r="W44" s="570">
        <f t="shared" si="97"/>
        <v>1858.2997999999998</v>
      </c>
      <c r="X44" s="569">
        <f t="shared" si="55"/>
        <v>7510.2708852799997</v>
      </c>
      <c r="Y44" s="569">
        <f t="shared" si="73"/>
        <v>28299.597599999997</v>
      </c>
      <c r="Z44" s="571">
        <f t="shared" si="93"/>
        <v>2117.6116719999995</v>
      </c>
      <c r="AA44" s="569">
        <f t="shared" si="57"/>
        <v>7250.9590132800004</v>
      </c>
      <c r="AB44" s="569">
        <f t="shared" si="74"/>
        <v>37732.796799999996</v>
      </c>
      <c r="AC44" s="571">
        <f t="shared" si="90"/>
        <v>2546.963784</v>
      </c>
      <c r="AD44" s="569">
        <f t="shared" si="59"/>
        <v>6821.6069012799999</v>
      </c>
      <c r="AE44" s="569">
        <f t="shared" si="75"/>
        <v>47165.995999999999</v>
      </c>
      <c r="AF44" s="571">
        <f t="shared" si="76"/>
        <v>2546.963784</v>
      </c>
      <c r="AG44" s="569">
        <f t="shared" si="60"/>
        <v>6821.6069012799999</v>
      </c>
      <c r="AH44" s="569">
        <f t="shared" si="77"/>
        <v>56599.195199999995</v>
      </c>
      <c r="AI44" s="571">
        <f t="shared" si="94"/>
        <v>2546.963784</v>
      </c>
      <c r="AJ44" s="569">
        <f t="shared" si="61"/>
        <v>6821.6069012799999</v>
      </c>
      <c r="AK44" s="569">
        <f t="shared" si="79"/>
        <v>66032.39439999999</v>
      </c>
      <c r="AL44" s="571">
        <f t="shared" si="95"/>
        <v>2546.963784</v>
      </c>
      <c r="AM44" s="569">
        <f t="shared" si="62"/>
        <v>6821.6069012799999</v>
      </c>
      <c r="AN44" s="569">
        <f t="shared" si="80"/>
        <v>75465.593599999993</v>
      </c>
      <c r="AO44" s="571">
        <f t="shared" si="98"/>
        <v>2546.963784</v>
      </c>
      <c r="AP44" s="569">
        <f t="shared" si="63"/>
        <v>6821.6069012799999</v>
      </c>
      <c r="AQ44" s="569">
        <f t="shared" si="81"/>
        <v>84898.792799999996</v>
      </c>
      <c r="AR44" s="571">
        <f>H44*0.27</f>
        <v>2546.963784</v>
      </c>
      <c r="AS44" s="569">
        <f t="shared" si="64"/>
        <v>6821.6069012799999</v>
      </c>
      <c r="AT44" s="569">
        <f t="shared" si="82"/>
        <v>94331.991999999998</v>
      </c>
      <c r="AU44" s="572">
        <f>(AT44-88000)*0.35+(88000-AQ44)*0.27</f>
        <v>3053.5231440000002</v>
      </c>
      <c r="AV44" s="569">
        <f t="shared" si="65"/>
        <v>6315.0475412799988</v>
      </c>
      <c r="AW44" s="569">
        <f t="shared" si="83"/>
        <v>103765.19119999999</v>
      </c>
      <c r="AX44" s="572">
        <f t="shared" si="91"/>
        <v>3301.6197199999997</v>
      </c>
      <c r="AY44" s="569">
        <f t="shared" si="67"/>
        <v>6066.9509652799998</v>
      </c>
      <c r="AZ44" s="569">
        <f t="shared" si="84"/>
        <v>113198.39039999999</v>
      </c>
      <c r="BA44" s="572">
        <f t="shared" si="92"/>
        <v>3301.6197199999997</v>
      </c>
      <c r="BB44" s="569">
        <f t="shared" si="69"/>
        <v>6066.9509652799998</v>
      </c>
      <c r="BC44" s="292"/>
      <c r="BE44" s="358"/>
    </row>
    <row r="45" spans="1:57" ht="73.5" customHeight="1" x14ac:dyDescent="0.5">
      <c r="A45" s="716"/>
      <c r="B45" s="227" t="s">
        <v>226</v>
      </c>
      <c r="C45" s="492">
        <v>200</v>
      </c>
      <c r="D45" s="493">
        <v>4996.0199999999995</v>
      </c>
      <c r="E45" s="493">
        <v>6661.36</v>
      </c>
      <c r="F45" s="493">
        <f t="shared" si="48"/>
        <v>11657.38</v>
      </c>
      <c r="G45" s="517">
        <v>359</v>
      </c>
      <c r="H45" s="277">
        <f t="shared" si="70"/>
        <v>9566.4264000000003</v>
      </c>
      <c r="I45" s="489">
        <v>0.74</v>
      </c>
      <c r="J45" s="490">
        <v>6800</v>
      </c>
      <c r="K45" s="491">
        <f t="shared" si="27"/>
        <v>6986.8360124266665</v>
      </c>
      <c r="L45" s="491">
        <v>6756.2535689354663</v>
      </c>
      <c r="M45" s="491">
        <f t="shared" si="49"/>
        <v>-230.58244349120014</v>
      </c>
      <c r="N45" s="491"/>
      <c r="O45" s="491">
        <f t="shared" si="71"/>
        <v>7432.8042685390074</v>
      </c>
      <c r="P45" s="491">
        <v>6796.5412077610645</v>
      </c>
      <c r="Q45" s="518">
        <f t="shared" si="50"/>
        <v>190.29480466560199</v>
      </c>
      <c r="R45" s="568">
        <f t="shared" si="51"/>
        <v>65.507814240000002</v>
      </c>
      <c r="S45" s="569">
        <f t="shared" si="72"/>
        <v>9566.4264000000003</v>
      </c>
      <c r="T45" s="573">
        <f t="shared" si="96"/>
        <v>1434.96396</v>
      </c>
      <c r="U45" s="569">
        <f t="shared" si="53"/>
        <v>8065.9546257600005</v>
      </c>
      <c r="V45" s="569">
        <f t="shared" si="54"/>
        <v>19132.852800000001</v>
      </c>
      <c r="W45" s="570">
        <f t="shared" si="97"/>
        <v>1891.6066000000001</v>
      </c>
      <c r="X45" s="569">
        <f t="shared" si="55"/>
        <v>7609.3119857600004</v>
      </c>
      <c r="Y45" s="569">
        <f t="shared" si="73"/>
        <v>28699.279200000001</v>
      </c>
      <c r="Z45" s="571">
        <f t="shared" si="93"/>
        <v>2172.2348240000001</v>
      </c>
      <c r="AA45" s="569">
        <f t="shared" si="57"/>
        <v>7328.6837617600004</v>
      </c>
      <c r="AB45" s="569">
        <f t="shared" si="74"/>
        <v>38265.705600000001</v>
      </c>
      <c r="AC45" s="571">
        <f t="shared" si="90"/>
        <v>2582.9351280000001</v>
      </c>
      <c r="AD45" s="569">
        <f t="shared" si="59"/>
        <v>6917.9834577600004</v>
      </c>
      <c r="AE45" s="569">
        <f t="shared" si="75"/>
        <v>47832.131999999998</v>
      </c>
      <c r="AF45" s="571">
        <f t="shared" si="76"/>
        <v>2582.9351280000001</v>
      </c>
      <c r="AG45" s="569">
        <f t="shared" si="60"/>
        <v>6917.9834577600004</v>
      </c>
      <c r="AH45" s="569">
        <f t="shared" si="77"/>
        <v>57398.558400000002</v>
      </c>
      <c r="AI45" s="571">
        <f t="shared" si="94"/>
        <v>2582.9351280000001</v>
      </c>
      <c r="AJ45" s="569">
        <f t="shared" si="61"/>
        <v>6917.9834577600004</v>
      </c>
      <c r="AK45" s="569">
        <f t="shared" si="79"/>
        <v>66964.984800000006</v>
      </c>
      <c r="AL45" s="571">
        <f t="shared" si="95"/>
        <v>2582.9351280000001</v>
      </c>
      <c r="AM45" s="569">
        <f t="shared" si="62"/>
        <v>6917.9834577600004</v>
      </c>
      <c r="AN45" s="569">
        <f t="shared" si="80"/>
        <v>76531.411200000002</v>
      </c>
      <c r="AO45" s="571">
        <f t="shared" si="98"/>
        <v>2582.9351280000001</v>
      </c>
      <c r="AP45" s="569">
        <f t="shared" si="63"/>
        <v>6917.9834577600004</v>
      </c>
      <c r="AQ45" s="569">
        <f t="shared" si="81"/>
        <v>86097.837599999999</v>
      </c>
      <c r="AR45" s="571">
        <f>H45*0.27</f>
        <v>2582.9351280000001</v>
      </c>
      <c r="AS45" s="569">
        <f t="shared" si="64"/>
        <v>6917.9834577600004</v>
      </c>
      <c r="AT45" s="569">
        <f t="shared" si="82"/>
        <v>95664.263999999996</v>
      </c>
      <c r="AU45" s="572">
        <f>(AT45-88000)*0.35+(88000-AQ45)*0.27</f>
        <v>3196.0762479999985</v>
      </c>
      <c r="AV45" s="569">
        <f t="shared" si="65"/>
        <v>6304.842337760002</v>
      </c>
      <c r="AW45" s="569">
        <f t="shared" si="83"/>
        <v>105230.69040000001</v>
      </c>
      <c r="AX45" s="572">
        <f t="shared" si="91"/>
        <v>3348.2492400000001</v>
      </c>
      <c r="AY45" s="569">
        <f t="shared" si="67"/>
        <v>6152.6693457600004</v>
      </c>
      <c r="AZ45" s="569">
        <f t="shared" si="84"/>
        <v>114797.1168</v>
      </c>
      <c r="BA45" s="572">
        <f t="shared" si="92"/>
        <v>3348.2492400000001</v>
      </c>
      <c r="BB45" s="569">
        <f t="shared" si="69"/>
        <v>6152.6693457600004</v>
      </c>
      <c r="BC45" s="292"/>
      <c r="BE45" s="358"/>
    </row>
    <row r="46" spans="1:57" ht="73.5" customHeight="1" x14ac:dyDescent="0.5">
      <c r="A46" s="716"/>
      <c r="B46" s="227" t="s">
        <v>227</v>
      </c>
      <c r="C46" s="492">
        <v>200</v>
      </c>
      <c r="D46" s="493">
        <v>4996.0199999999995</v>
      </c>
      <c r="E46" s="493">
        <v>6661.36</v>
      </c>
      <c r="F46" s="493">
        <f t="shared" si="48"/>
        <v>11657.38</v>
      </c>
      <c r="G46" s="517">
        <v>359</v>
      </c>
      <c r="H46" s="277">
        <f t="shared" si="70"/>
        <v>8300.768</v>
      </c>
      <c r="I46" s="489">
        <v>0.55000000000000004</v>
      </c>
      <c r="J46" s="490">
        <v>6000</v>
      </c>
      <c r="K46" s="491">
        <f t="shared" si="27"/>
        <v>6172.5113978666668</v>
      </c>
      <c r="L46" s="491">
        <v>6025.1402412746656</v>
      </c>
      <c r="M46" s="491">
        <f t="shared" si="49"/>
        <v>-147.37115659200117</v>
      </c>
      <c r="N46" s="491"/>
      <c r="O46" s="491">
        <f t="shared" si="71"/>
        <v>6566.5014870921987</v>
      </c>
      <c r="P46" s="491">
        <v>6025.1402412746656</v>
      </c>
      <c r="Q46" s="518">
        <f t="shared" si="50"/>
        <v>147.37115659200117</v>
      </c>
      <c r="R46" s="568">
        <f t="shared" si="51"/>
        <v>57.154468799999997</v>
      </c>
      <c r="S46" s="569">
        <f t="shared" si="72"/>
        <v>8300.768</v>
      </c>
      <c r="T46" s="573">
        <f t="shared" si="96"/>
        <v>1245.1152</v>
      </c>
      <c r="U46" s="569">
        <f t="shared" si="53"/>
        <v>6998.4983312000004</v>
      </c>
      <c r="V46" s="569">
        <f t="shared" si="54"/>
        <v>16601.536</v>
      </c>
      <c r="W46" s="570">
        <f t="shared" si="97"/>
        <v>1575.1920000000002</v>
      </c>
      <c r="X46" s="569">
        <f t="shared" si="55"/>
        <v>6668.4215312000006</v>
      </c>
      <c r="Y46" s="569">
        <f t="shared" si="73"/>
        <v>24902.304</v>
      </c>
      <c r="Z46" s="570">
        <f>H46*0.2</f>
        <v>1660.1536000000001</v>
      </c>
      <c r="AA46" s="569">
        <f t="shared" si="57"/>
        <v>6583.4599312000009</v>
      </c>
      <c r="AB46" s="569">
        <f t="shared" si="74"/>
        <v>33203.072</v>
      </c>
      <c r="AC46" s="571">
        <f>(AB46-25000)*0.27+(25000-Y46)*0.2</f>
        <v>2234.3686400000001</v>
      </c>
      <c r="AD46" s="569">
        <f t="shared" si="59"/>
        <v>6009.2448912</v>
      </c>
      <c r="AE46" s="569">
        <f t="shared" si="75"/>
        <v>41503.839999999997</v>
      </c>
      <c r="AF46" s="571">
        <f t="shared" si="76"/>
        <v>2241.2073600000003</v>
      </c>
      <c r="AG46" s="569">
        <f t="shared" si="60"/>
        <v>6002.4061712000002</v>
      </c>
      <c r="AH46" s="569">
        <f t="shared" si="77"/>
        <v>49804.608</v>
      </c>
      <c r="AI46" s="571">
        <f t="shared" si="94"/>
        <v>2241.2073600000003</v>
      </c>
      <c r="AJ46" s="569">
        <f t="shared" si="61"/>
        <v>6002.4061712000002</v>
      </c>
      <c r="AK46" s="569">
        <f t="shared" si="79"/>
        <v>58105.376000000004</v>
      </c>
      <c r="AL46" s="571">
        <f t="shared" si="95"/>
        <v>2241.2073600000003</v>
      </c>
      <c r="AM46" s="569">
        <f t="shared" si="62"/>
        <v>6002.4061712000002</v>
      </c>
      <c r="AN46" s="569">
        <f t="shared" si="80"/>
        <v>66406.144</v>
      </c>
      <c r="AO46" s="571">
        <f t="shared" si="98"/>
        <v>2241.2073600000003</v>
      </c>
      <c r="AP46" s="569">
        <f t="shared" si="63"/>
        <v>6002.4061712000002</v>
      </c>
      <c r="AQ46" s="569">
        <f t="shared" si="81"/>
        <v>74706.911999999997</v>
      </c>
      <c r="AR46" s="571">
        <f>H46*0.27</f>
        <v>2241.2073600000003</v>
      </c>
      <c r="AS46" s="569">
        <f t="shared" si="64"/>
        <v>6002.4061712000002</v>
      </c>
      <c r="AT46" s="569">
        <f t="shared" si="82"/>
        <v>83007.679999999993</v>
      </c>
      <c r="AU46" s="571">
        <f>H46*0.27</f>
        <v>2241.2073600000003</v>
      </c>
      <c r="AV46" s="569">
        <f t="shared" si="65"/>
        <v>6002.4061712000002</v>
      </c>
      <c r="AW46" s="569">
        <f t="shared" si="83"/>
        <v>91308.448000000004</v>
      </c>
      <c r="AX46" s="572">
        <f>(AW46-88000)*0.35+(88000-AT46)*0.27</f>
        <v>2505.8832000000029</v>
      </c>
      <c r="AY46" s="569">
        <f t="shared" si="67"/>
        <v>5737.7303311999976</v>
      </c>
      <c r="AZ46" s="569">
        <f t="shared" si="84"/>
        <v>99609.216</v>
      </c>
      <c r="BA46" s="572">
        <f t="shared" si="92"/>
        <v>2905.2687999999998</v>
      </c>
      <c r="BB46" s="569">
        <f t="shared" si="69"/>
        <v>5338.3447312000008</v>
      </c>
      <c r="BC46" s="292"/>
      <c r="BE46" s="358"/>
    </row>
    <row r="47" spans="1:57" ht="73.5" customHeight="1" x14ac:dyDescent="0.5">
      <c r="A47" s="717" t="s">
        <v>31</v>
      </c>
      <c r="B47" s="291" t="s">
        <v>32</v>
      </c>
      <c r="C47" s="495">
        <v>270</v>
      </c>
      <c r="D47" s="488">
        <v>4996.0199999999995</v>
      </c>
      <c r="E47" s="488">
        <v>8992.8359999999993</v>
      </c>
      <c r="F47" s="488">
        <f t="shared" si="48"/>
        <v>13988.856</v>
      </c>
      <c r="G47" s="517">
        <v>359</v>
      </c>
      <c r="H47" s="277">
        <f t="shared" si="70"/>
        <v>10392.43504</v>
      </c>
      <c r="I47" s="489">
        <v>0.64</v>
      </c>
      <c r="J47" s="490">
        <v>7351</v>
      </c>
      <c r="K47" s="491">
        <f t="shared" si="27"/>
        <v>7518.2899714026689</v>
      </c>
      <c r="L47" s="491">
        <v>7187.3313043693861</v>
      </c>
      <c r="M47" s="491">
        <f t="shared" si="49"/>
        <v>-330.95866703328284</v>
      </c>
      <c r="N47" s="491"/>
      <c r="O47" s="491">
        <f t="shared" si="71"/>
        <v>7998.1808206411379</v>
      </c>
      <c r="P47" s="491">
        <v>7296.107929198507</v>
      </c>
      <c r="Q47" s="518">
        <f t="shared" si="50"/>
        <v>222.18204220416192</v>
      </c>
      <c r="R47" s="568">
        <f t="shared" si="51"/>
        <v>70.959471264000001</v>
      </c>
      <c r="S47" s="569">
        <f t="shared" si="72"/>
        <v>10392.43504</v>
      </c>
      <c r="T47" s="570">
        <f t="shared" ref="T47" si="99">(S47-10000)*0.2+10000*0.15</f>
        <v>1578.4870080000001</v>
      </c>
      <c r="U47" s="569">
        <f t="shared" si="53"/>
        <v>8742.9885607360011</v>
      </c>
      <c r="V47" s="569">
        <f t="shared" si="54"/>
        <v>20784.870080000001</v>
      </c>
      <c r="W47" s="570">
        <f>H47*0.2</f>
        <v>2078.4870080000001</v>
      </c>
      <c r="X47" s="569">
        <f t="shared" si="55"/>
        <v>8242.9885607360011</v>
      </c>
      <c r="Y47" s="569">
        <f t="shared" si="73"/>
        <v>31177.305120000001</v>
      </c>
      <c r="Z47" s="571">
        <f>(Y47-25000)*0.27+(25000-V47)*0.2</f>
        <v>2510.8983664000002</v>
      </c>
      <c r="AA47" s="569">
        <f t="shared" si="57"/>
        <v>7810.5772023360005</v>
      </c>
      <c r="AB47" s="569">
        <f t="shared" si="74"/>
        <v>41569.740160000001</v>
      </c>
      <c r="AC47" s="571">
        <f>H47*0.27</f>
        <v>2805.9574608000003</v>
      </c>
      <c r="AD47" s="569">
        <f t="shared" si="59"/>
        <v>7515.5181079360009</v>
      </c>
      <c r="AE47" s="569">
        <f t="shared" si="75"/>
        <v>51962.175199999998</v>
      </c>
      <c r="AF47" s="571">
        <f t="shared" si="76"/>
        <v>2805.9574608000003</v>
      </c>
      <c r="AG47" s="569">
        <f t="shared" si="60"/>
        <v>7515.5181079360009</v>
      </c>
      <c r="AH47" s="569">
        <f t="shared" si="77"/>
        <v>62354.610240000002</v>
      </c>
      <c r="AI47" s="571">
        <f t="shared" si="94"/>
        <v>2805.9574608000003</v>
      </c>
      <c r="AJ47" s="569">
        <f t="shared" si="61"/>
        <v>7515.5181079360009</v>
      </c>
      <c r="AK47" s="569">
        <f t="shared" si="79"/>
        <v>72747.045280000006</v>
      </c>
      <c r="AL47" s="571">
        <f t="shared" si="95"/>
        <v>2805.9574608000003</v>
      </c>
      <c r="AM47" s="569">
        <f t="shared" si="62"/>
        <v>7515.5181079360009</v>
      </c>
      <c r="AN47" s="569">
        <f t="shared" si="80"/>
        <v>83139.480320000002</v>
      </c>
      <c r="AO47" s="571">
        <f t="shared" si="98"/>
        <v>2805.9574608000003</v>
      </c>
      <c r="AP47" s="569">
        <f t="shared" si="63"/>
        <v>7515.5181079360009</v>
      </c>
      <c r="AQ47" s="569">
        <f t="shared" si="81"/>
        <v>93531.915359999999</v>
      </c>
      <c r="AR47" s="572">
        <f>(AQ47-88000)*0.35+(88000-AN47)*0.27</f>
        <v>3248.5106895999988</v>
      </c>
      <c r="AS47" s="569">
        <f t="shared" si="64"/>
        <v>7072.9648791360023</v>
      </c>
      <c r="AT47" s="569">
        <f t="shared" si="82"/>
        <v>103924.3504</v>
      </c>
      <c r="AU47" s="572">
        <f>H47*0.35</f>
        <v>3637.3522639999996</v>
      </c>
      <c r="AV47" s="569">
        <f t="shared" si="65"/>
        <v>6684.123304736002</v>
      </c>
      <c r="AW47" s="569">
        <f t="shared" si="83"/>
        <v>114316.78544000001</v>
      </c>
      <c r="AX47" s="572">
        <f>H47*0.35</f>
        <v>3637.3522639999996</v>
      </c>
      <c r="AY47" s="569">
        <f t="shared" si="67"/>
        <v>6684.123304736002</v>
      </c>
      <c r="AZ47" s="569">
        <f t="shared" si="84"/>
        <v>124709.22048</v>
      </c>
      <c r="BA47" s="572">
        <f t="shared" si="92"/>
        <v>3637.3522639999996</v>
      </c>
      <c r="BB47" s="569">
        <f t="shared" si="69"/>
        <v>6684.123304736002</v>
      </c>
      <c r="BC47" s="292"/>
      <c r="BE47" s="358"/>
    </row>
    <row r="48" spans="1:57" ht="73.5" customHeight="1" x14ac:dyDescent="0.5">
      <c r="A48" s="718"/>
      <c r="B48" s="291" t="s">
        <v>225</v>
      </c>
      <c r="C48" s="495">
        <v>270</v>
      </c>
      <c r="D48" s="488">
        <v>4996.0199999999995</v>
      </c>
      <c r="E48" s="488">
        <v>8992.8359999999993</v>
      </c>
      <c r="F48" s="488">
        <f t="shared" si="48"/>
        <v>13988.856</v>
      </c>
      <c r="G48" s="517">
        <v>359</v>
      </c>
      <c r="H48" s="277">
        <f t="shared" si="70"/>
        <v>8234.1543999999994</v>
      </c>
      <c r="I48" s="496">
        <v>0.4</v>
      </c>
      <c r="J48" s="490">
        <v>6000</v>
      </c>
      <c r="K48" s="491">
        <f t="shared" si="27"/>
        <v>6129.6522076266656</v>
      </c>
      <c r="L48" s="491">
        <v>5990.7884312490669</v>
      </c>
      <c r="M48" s="491">
        <f t="shared" si="49"/>
        <v>-138.8637763775987</v>
      </c>
      <c r="N48" s="491"/>
      <c r="O48" s="491">
        <f t="shared" si="71"/>
        <v>6520.906603858155</v>
      </c>
      <c r="P48" s="491">
        <v>5990.7884312490669</v>
      </c>
      <c r="Q48" s="518">
        <f t="shared" si="50"/>
        <v>138.8637763775987</v>
      </c>
      <c r="R48" s="568">
        <f t="shared" si="51"/>
        <v>56.714819039999995</v>
      </c>
      <c r="S48" s="569">
        <f t="shared" si="72"/>
        <v>8234.1543999999994</v>
      </c>
      <c r="T48" s="573">
        <f t="shared" si="96"/>
        <v>1235.1231599999999</v>
      </c>
      <c r="U48" s="569">
        <f t="shared" si="53"/>
        <v>6942.316420959999</v>
      </c>
      <c r="V48" s="569">
        <f t="shared" si="54"/>
        <v>16468.308799999999</v>
      </c>
      <c r="W48" s="570">
        <f t="shared" si="97"/>
        <v>1558.5386000000001</v>
      </c>
      <c r="X48" s="569">
        <f t="shared" si="55"/>
        <v>6618.9009809599993</v>
      </c>
      <c r="Y48" s="569">
        <f t="shared" si="73"/>
        <v>24702.463199999998</v>
      </c>
      <c r="Z48" s="570">
        <f>H48*0.2</f>
        <v>1646.83088</v>
      </c>
      <c r="AA48" s="569">
        <f t="shared" si="57"/>
        <v>6530.6087009599996</v>
      </c>
      <c r="AB48" s="569">
        <f t="shared" si="74"/>
        <v>32936.617599999998</v>
      </c>
      <c r="AC48" s="571">
        <f>(AB48-25000)*0.27+(25000-Y48)*0.2</f>
        <v>2202.394112</v>
      </c>
      <c r="AD48" s="569">
        <f t="shared" si="59"/>
        <v>5975.0454689599992</v>
      </c>
      <c r="AE48" s="569">
        <f t="shared" si="75"/>
        <v>41170.771999999997</v>
      </c>
      <c r="AF48" s="571">
        <f t="shared" si="76"/>
        <v>2223.2216880000001</v>
      </c>
      <c r="AG48" s="569">
        <f t="shared" si="60"/>
        <v>5954.2178929599995</v>
      </c>
      <c r="AH48" s="569">
        <f t="shared" si="77"/>
        <v>49404.926399999997</v>
      </c>
      <c r="AI48" s="571">
        <f t="shared" si="94"/>
        <v>2223.2216880000001</v>
      </c>
      <c r="AJ48" s="569">
        <f t="shared" si="61"/>
        <v>5954.2178929599995</v>
      </c>
      <c r="AK48" s="569">
        <f t="shared" si="79"/>
        <v>57639.080799999996</v>
      </c>
      <c r="AL48" s="571">
        <f t="shared" si="95"/>
        <v>2223.2216880000001</v>
      </c>
      <c r="AM48" s="569">
        <f t="shared" si="62"/>
        <v>5954.2178929599995</v>
      </c>
      <c r="AN48" s="569">
        <f t="shared" si="80"/>
        <v>65873.235199999996</v>
      </c>
      <c r="AO48" s="571">
        <f t="shared" si="98"/>
        <v>2223.2216880000001</v>
      </c>
      <c r="AP48" s="569">
        <f t="shared" si="63"/>
        <v>5954.2178929599995</v>
      </c>
      <c r="AQ48" s="569">
        <f t="shared" si="81"/>
        <v>74107.389599999995</v>
      </c>
      <c r="AR48" s="571">
        <f t="shared" ref="AR48:AR54" si="100">H48*0.27</f>
        <v>2223.2216880000001</v>
      </c>
      <c r="AS48" s="569">
        <f t="shared" si="64"/>
        <v>5954.2178929599995</v>
      </c>
      <c r="AT48" s="569">
        <f t="shared" si="82"/>
        <v>82341.543999999994</v>
      </c>
      <c r="AU48" s="571">
        <f>H48*0.27</f>
        <v>2223.2216880000001</v>
      </c>
      <c r="AV48" s="569">
        <f t="shared" si="65"/>
        <v>5954.2178929599995</v>
      </c>
      <c r="AW48" s="569">
        <f t="shared" si="83"/>
        <v>90575.698399999994</v>
      </c>
      <c r="AX48" s="572">
        <f>(AW48-88000)*0.35+(88000-AT48)*0.27</f>
        <v>2429.2775599999995</v>
      </c>
      <c r="AY48" s="569">
        <f t="shared" si="67"/>
        <v>5748.1620209599996</v>
      </c>
      <c r="AZ48" s="569">
        <f t="shared" si="84"/>
        <v>98809.852799999993</v>
      </c>
      <c r="BA48" s="572">
        <f t="shared" si="92"/>
        <v>2881.9540399999996</v>
      </c>
      <c r="BB48" s="569">
        <f t="shared" si="69"/>
        <v>5295.4855409599995</v>
      </c>
      <c r="BC48" s="292"/>
      <c r="BE48" s="358"/>
    </row>
    <row r="49" spans="1:57" ht="73.5" customHeight="1" x14ac:dyDescent="0.5">
      <c r="A49" s="718"/>
      <c r="B49" s="504" t="s">
        <v>226</v>
      </c>
      <c r="C49" s="497">
        <v>180</v>
      </c>
      <c r="D49" s="493">
        <v>4996.0199999999995</v>
      </c>
      <c r="E49" s="493">
        <v>5995.2240000000002</v>
      </c>
      <c r="F49" s="493">
        <f t="shared" si="48"/>
        <v>10991.243999999999</v>
      </c>
      <c r="G49" s="517">
        <v>359</v>
      </c>
      <c r="H49" s="277">
        <f t="shared" si="70"/>
        <v>8414.0111199999992</v>
      </c>
      <c r="I49" s="489">
        <v>0.63</v>
      </c>
      <c r="J49" s="490">
        <v>6100</v>
      </c>
      <c r="K49" s="491">
        <f t="shared" si="27"/>
        <v>6245.3720212746666</v>
      </c>
      <c r="L49" s="491">
        <v>6063.3061811351463</v>
      </c>
      <c r="M49" s="491">
        <f t="shared" si="49"/>
        <v>-182.06584013952033</v>
      </c>
      <c r="N49" s="491"/>
      <c r="O49" s="491">
        <f t="shared" si="71"/>
        <v>6644.0127885900711</v>
      </c>
      <c r="P49" s="491">
        <v>6099.565056078186</v>
      </c>
      <c r="Q49" s="518">
        <f t="shared" si="50"/>
        <v>145.80696519648063</v>
      </c>
      <c r="R49" s="568">
        <f t="shared" si="51"/>
        <v>57.901873391999992</v>
      </c>
      <c r="S49" s="569">
        <f t="shared" si="72"/>
        <v>8414.0111199999992</v>
      </c>
      <c r="T49" s="573">
        <f t="shared" si="96"/>
        <v>1262.1016679999998</v>
      </c>
      <c r="U49" s="569">
        <f t="shared" si="53"/>
        <v>7094.0075786079997</v>
      </c>
      <c r="V49" s="569">
        <f t="shared" si="54"/>
        <v>16828.022239999998</v>
      </c>
      <c r="W49" s="570">
        <f t="shared" si="97"/>
        <v>1603.5027799999998</v>
      </c>
      <c r="X49" s="569">
        <f t="shared" si="55"/>
        <v>6752.6064666079992</v>
      </c>
      <c r="Y49" s="569">
        <f t="shared" si="73"/>
        <v>25242.033359999998</v>
      </c>
      <c r="Z49" s="571">
        <f t="shared" ref="Z49" si="101">(Y49-25000)*0.27+(25000-V49)*0.2</f>
        <v>1699.7445591999997</v>
      </c>
      <c r="AA49" s="569">
        <f t="shared" si="57"/>
        <v>6656.3646874079996</v>
      </c>
      <c r="AB49" s="569">
        <f t="shared" si="74"/>
        <v>33656.044479999997</v>
      </c>
      <c r="AC49" s="571">
        <f>H49*0.27</f>
        <v>2271.7830024</v>
      </c>
      <c r="AD49" s="569">
        <f t="shared" si="59"/>
        <v>6084.3262442079995</v>
      </c>
      <c r="AE49" s="569">
        <f t="shared" si="75"/>
        <v>42070.055599999992</v>
      </c>
      <c r="AF49" s="571">
        <f t="shared" si="76"/>
        <v>2271.7830024</v>
      </c>
      <c r="AG49" s="569">
        <f t="shared" si="60"/>
        <v>6084.3262442079995</v>
      </c>
      <c r="AH49" s="569">
        <f t="shared" si="77"/>
        <v>50484.066719999995</v>
      </c>
      <c r="AI49" s="571">
        <f t="shared" si="94"/>
        <v>2271.7830024</v>
      </c>
      <c r="AJ49" s="569">
        <f t="shared" si="61"/>
        <v>6084.3262442079995</v>
      </c>
      <c r="AK49" s="569">
        <f t="shared" si="79"/>
        <v>58898.077839999998</v>
      </c>
      <c r="AL49" s="571">
        <f t="shared" si="95"/>
        <v>2271.7830024</v>
      </c>
      <c r="AM49" s="569">
        <f t="shared" si="62"/>
        <v>6084.3262442079995</v>
      </c>
      <c r="AN49" s="569">
        <f t="shared" si="80"/>
        <v>67312.088959999994</v>
      </c>
      <c r="AO49" s="571">
        <f t="shared" si="98"/>
        <v>2271.7830024</v>
      </c>
      <c r="AP49" s="569">
        <f t="shared" si="63"/>
        <v>6084.3262442079995</v>
      </c>
      <c r="AQ49" s="569">
        <f t="shared" si="81"/>
        <v>75726.100079999989</v>
      </c>
      <c r="AR49" s="571">
        <f t="shared" si="100"/>
        <v>2271.7830024</v>
      </c>
      <c r="AS49" s="569">
        <f t="shared" si="64"/>
        <v>6084.3262442079995</v>
      </c>
      <c r="AT49" s="569">
        <f t="shared" si="82"/>
        <v>84140.111199999985</v>
      </c>
      <c r="AU49" s="571">
        <f>H49*0.27</f>
        <v>2271.7830024</v>
      </c>
      <c r="AV49" s="569">
        <f t="shared" si="65"/>
        <v>6084.3262442079995</v>
      </c>
      <c r="AW49" s="569">
        <f t="shared" si="83"/>
        <v>92554.122319999995</v>
      </c>
      <c r="AX49" s="572">
        <f>(AW49-88000)*0.35+(88000-AT49)*0.27</f>
        <v>2636.1127880000022</v>
      </c>
      <c r="AY49" s="569">
        <f t="shared" si="67"/>
        <v>5719.9964586079968</v>
      </c>
      <c r="AZ49" s="569">
        <f t="shared" si="84"/>
        <v>100968.13343999999</v>
      </c>
      <c r="BA49" s="572">
        <f t="shared" si="92"/>
        <v>2944.9038919999994</v>
      </c>
      <c r="BB49" s="569">
        <f t="shared" si="69"/>
        <v>5411.2053546079997</v>
      </c>
      <c r="BC49" s="292"/>
      <c r="BE49" s="358"/>
    </row>
    <row r="50" spans="1:57" ht="73.5" customHeight="1" x14ac:dyDescent="0.5">
      <c r="A50" s="718"/>
      <c r="B50" s="504" t="s">
        <v>227</v>
      </c>
      <c r="C50" s="497">
        <v>180</v>
      </c>
      <c r="D50" s="493">
        <v>4996.0199999999995</v>
      </c>
      <c r="E50" s="493">
        <v>5995.2240000000002</v>
      </c>
      <c r="F50" s="493">
        <f t="shared" si="48"/>
        <v>10991.243999999999</v>
      </c>
      <c r="G50" s="517">
        <v>359</v>
      </c>
      <c r="H50" s="277">
        <f t="shared" si="70"/>
        <v>7274.9185600000001</v>
      </c>
      <c r="I50" s="489">
        <v>0.44</v>
      </c>
      <c r="J50" s="490">
        <v>5400</v>
      </c>
      <c r="K50" s="491">
        <f t="shared" si="27"/>
        <v>5507.8066863040003</v>
      </c>
      <c r="L50" s="491">
        <v>5393.3113372057587</v>
      </c>
      <c r="M50" s="491">
        <f t="shared" si="49"/>
        <v>-114.4953490982416</v>
      </c>
      <c r="N50" s="491"/>
      <c r="O50" s="491">
        <f t="shared" si="71"/>
        <v>5859.3688152170216</v>
      </c>
      <c r="P50" s="491">
        <v>5393.3113372057587</v>
      </c>
      <c r="Q50" s="518">
        <f t="shared" si="50"/>
        <v>114.4953490982416</v>
      </c>
      <c r="R50" s="568">
        <f t="shared" si="51"/>
        <v>50.383862495999999</v>
      </c>
      <c r="S50" s="569">
        <f t="shared" si="72"/>
        <v>7274.9185600000001</v>
      </c>
      <c r="T50" s="573">
        <f t="shared" si="96"/>
        <v>1091.2377839999999</v>
      </c>
      <c r="U50" s="569">
        <f t="shared" si="53"/>
        <v>6133.2969135040003</v>
      </c>
      <c r="V50" s="569">
        <f t="shared" si="54"/>
        <v>14549.83712</v>
      </c>
      <c r="W50" s="570">
        <f t="shared" si="97"/>
        <v>1318.72964</v>
      </c>
      <c r="X50" s="569">
        <f t="shared" si="55"/>
        <v>5905.8050575039997</v>
      </c>
      <c r="Y50" s="569">
        <f t="shared" si="73"/>
        <v>21824.755680000002</v>
      </c>
      <c r="Z50" s="570">
        <f>H50*0.2</f>
        <v>1454.9837120000002</v>
      </c>
      <c r="AA50" s="569">
        <f t="shared" si="57"/>
        <v>5769.550985504</v>
      </c>
      <c r="AB50" s="569">
        <f t="shared" si="74"/>
        <v>29099.67424</v>
      </c>
      <c r="AC50" s="571">
        <f>(AB50-25000)*0.27+(25000-Y50)*0.2</f>
        <v>1741.9609087999997</v>
      </c>
      <c r="AD50" s="569">
        <f t="shared" si="59"/>
        <v>5482.5737887040004</v>
      </c>
      <c r="AE50" s="569">
        <f t="shared" si="75"/>
        <v>36374.592799999999</v>
      </c>
      <c r="AF50" s="571">
        <f t="shared" si="76"/>
        <v>1964.2280112000001</v>
      </c>
      <c r="AG50" s="569">
        <f t="shared" si="60"/>
        <v>5260.3066863040003</v>
      </c>
      <c r="AH50" s="569">
        <f t="shared" si="77"/>
        <v>43649.511360000004</v>
      </c>
      <c r="AI50" s="571">
        <f t="shared" si="94"/>
        <v>1964.2280112000001</v>
      </c>
      <c r="AJ50" s="569">
        <f t="shared" si="61"/>
        <v>5260.3066863040003</v>
      </c>
      <c r="AK50" s="569">
        <f t="shared" si="79"/>
        <v>50924.429920000002</v>
      </c>
      <c r="AL50" s="571">
        <f t="shared" si="95"/>
        <v>1964.2280112000001</v>
      </c>
      <c r="AM50" s="569">
        <f t="shared" si="62"/>
        <v>5260.3066863040003</v>
      </c>
      <c r="AN50" s="569">
        <f t="shared" si="80"/>
        <v>58199.348480000001</v>
      </c>
      <c r="AO50" s="571">
        <f t="shared" si="98"/>
        <v>1964.2280112000001</v>
      </c>
      <c r="AP50" s="569">
        <f t="shared" si="63"/>
        <v>5260.3066863040003</v>
      </c>
      <c r="AQ50" s="569">
        <f t="shared" si="81"/>
        <v>65474.267039999999</v>
      </c>
      <c r="AR50" s="571">
        <f t="shared" si="100"/>
        <v>1964.2280112000001</v>
      </c>
      <c r="AS50" s="569">
        <f t="shared" si="64"/>
        <v>5260.3066863040003</v>
      </c>
      <c r="AT50" s="569">
        <f t="shared" si="82"/>
        <v>72749.185599999997</v>
      </c>
      <c r="AU50" s="571">
        <f>H50*0.27</f>
        <v>1964.2280112000001</v>
      </c>
      <c r="AV50" s="569">
        <f t="shared" si="65"/>
        <v>5260.3066863040003</v>
      </c>
      <c r="AW50" s="569">
        <f t="shared" si="83"/>
        <v>80024.104160000003</v>
      </c>
      <c r="AX50" s="571">
        <f>H50*0.27</f>
        <v>1964.2280112000001</v>
      </c>
      <c r="AY50" s="569">
        <f t="shared" si="67"/>
        <v>5260.3066863040003</v>
      </c>
      <c r="AZ50" s="569">
        <f t="shared" si="84"/>
        <v>87299.022720000008</v>
      </c>
      <c r="BA50" s="571">
        <f t="shared" ref="BA50:BA54" si="102">H50*0.27</f>
        <v>1964.2280112000001</v>
      </c>
      <c r="BB50" s="569">
        <f t="shared" si="69"/>
        <v>5260.3066863040003</v>
      </c>
      <c r="BC50" s="292"/>
      <c r="BE50" s="358"/>
    </row>
    <row r="51" spans="1:57" ht="73.5" customHeight="1" x14ac:dyDescent="0.5">
      <c r="A51" s="718"/>
      <c r="B51" s="505" t="s">
        <v>228</v>
      </c>
      <c r="C51" s="497">
        <v>180</v>
      </c>
      <c r="D51" s="493">
        <v>4996.0199999999995</v>
      </c>
      <c r="E51" s="493">
        <v>5995.2240000000002</v>
      </c>
      <c r="F51" s="493">
        <f t="shared" si="48"/>
        <v>10991.243999999999</v>
      </c>
      <c r="G51" s="517">
        <v>359</v>
      </c>
      <c r="H51" s="277">
        <f t="shared" si="70"/>
        <v>5236.5423999999994</v>
      </c>
      <c r="I51" s="498">
        <v>0.1</v>
      </c>
      <c r="J51" s="490">
        <v>3900</v>
      </c>
      <c r="K51" s="491">
        <f t="shared" si="27"/>
        <v>4033.2453721600009</v>
      </c>
      <c r="L51" s="491">
        <v>4007.2237019103995</v>
      </c>
      <c r="M51" s="491">
        <f t="shared" si="49"/>
        <v>-26.021670249601357</v>
      </c>
      <c r="N51" s="491"/>
      <c r="O51" s="491">
        <f t="shared" si="71"/>
        <v>4290.6865661276606</v>
      </c>
      <c r="P51" s="491">
        <v>4007.2237019103995</v>
      </c>
      <c r="Q51" s="518">
        <f t="shared" si="50"/>
        <v>26.021670249601357</v>
      </c>
      <c r="R51" s="568">
        <f t="shared" si="51"/>
        <v>36.930579839999993</v>
      </c>
      <c r="S51" s="569">
        <f t="shared" si="72"/>
        <v>5236.5423999999994</v>
      </c>
      <c r="T51" s="573">
        <f t="shared" si="96"/>
        <v>785.48135999999988</v>
      </c>
      <c r="U51" s="569">
        <f t="shared" si="53"/>
        <v>4414.1304601599995</v>
      </c>
      <c r="V51" s="569">
        <f t="shared" si="54"/>
        <v>10473.084799999999</v>
      </c>
      <c r="W51" s="570">
        <f t="shared" si="97"/>
        <v>809.13559999999984</v>
      </c>
      <c r="X51" s="569">
        <f t="shared" si="55"/>
        <v>4390.4762201599997</v>
      </c>
      <c r="Y51" s="569">
        <f t="shared" si="73"/>
        <v>15709.627199999999</v>
      </c>
      <c r="Z51" s="570">
        <f>H51*0.2</f>
        <v>1047.3084799999999</v>
      </c>
      <c r="AA51" s="569">
        <f t="shared" si="57"/>
        <v>4152.3033401599996</v>
      </c>
      <c r="AB51" s="569">
        <f t="shared" si="74"/>
        <v>20946.169599999997</v>
      </c>
      <c r="AC51" s="570">
        <f>H51*0.2</f>
        <v>1047.3084799999999</v>
      </c>
      <c r="AD51" s="569">
        <f t="shared" si="59"/>
        <v>4152.3033401599996</v>
      </c>
      <c r="AE51" s="569">
        <f t="shared" si="75"/>
        <v>26182.711999999996</v>
      </c>
      <c r="AF51" s="571">
        <f>(AE51-25000)*0.27+(25000-AB51)*0.2</f>
        <v>1130.0983199999996</v>
      </c>
      <c r="AG51" s="569">
        <f t="shared" si="60"/>
        <v>4069.5135001599997</v>
      </c>
      <c r="AH51" s="569">
        <f t="shared" si="77"/>
        <v>31419.254399999998</v>
      </c>
      <c r="AI51" s="571">
        <f t="shared" si="94"/>
        <v>1413.866448</v>
      </c>
      <c r="AJ51" s="569">
        <f t="shared" si="61"/>
        <v>3785.7453721599995</v>
      </c>
      <c r="AK51" s="569">
        <f t="shared" si="79"/>
        <v>36655.796799999996</v>
      </c>
      <c r="AL51" s="571">
        <f t="shared" si="95"/>
        <v>1413.866448</v>
      </c>
      <c r="AM51" s="569">
        <f t="shared" si="62"/>
        <v>3785.7453721599995</v>
      </c>
      <c r="AN51" s="569">
        <f t="shared" si="80"/>
        <v>41892.339199999995</v>
      </c>
      <c r="AO51" s="571">
        <f t="shared" si="98"/>
        <v>1413.866448</v>
      </c>
      <c r="AP51" s="569">
        <f t="shared" si="63"/>
        <v>3785.7453721599995</v>
      </c>
      <c r="AQ51" s="569">
        <f t="shared" si="81"/>
        <v>47128.881599999993</v>
      </c>
      <c r="AR51" s="571">
        <f t="shared" si="100"/>
        <v>1413.866448</v>
      </c>
      <c r="AS51" s="569">
        <f t="shared" si="64"/>
        <v>3785.7453721599995</v>
      </c>
      <c r="AT51" s="569">
        <f t="shared" si="82"/>
        <v>52365.423999999992</v>
      </c>
      <c r="AU51" s="571">
        <f>H51*0.27</f>
        <v>1413.866448</v>
      </c>
      <c r="AV51" s="569">
        <f t="shared" si="65"/>
        <v>3785.7453721599995</v>
      </c>
      <c r="AW51" s="569">
        <f t="shared" si="83"/>
        <v>57601.96639999999</v>
      </c>
      <c r="AX51" s="571">
        <f>H51*0.27</f>
        <v>1413.866448</v>
      </c>
      <c r="AY51" s="569">
        <f t="shared" si="67"/>
        <v>3785.7453721599995</v>
      </c>
      <c r="AZ51" s="569">
        <f t="shared" si="84"/>
        <v>62838.508799999996</v>
      </c>
      <c r="BA51" s="571">
        <f t="shared" si="102"/>
        <v>1413.866448</v>
      </c>
      <c r="BB51" s="569">
        <f t="shared" si="69"/>
        <v>3785.7453721599995</v>
      </c>
      <c r="BC51" s="292"/>
      <c r="BE51" s="358"/>
    </row>
    <row r="52" spans="1:57" ht="73.5" customHeight="1" x14ac:dyDescent="0.5">
      <c r="A52" s="719"/>
      <c r="B52" s="503" t="s">
        <v>199</v>
      </c>
      <c r="C52" s="495">
        <v>125</v>
      </c>
      <c r="D52" s="488">
        <v>3331</v>
      </c>
      <c r="E52" s="488">
        <v>4163</v>
      </c>
      <c r="F52" s="488">
        <f t="shared" si="48"/>
        <v>7494</v>
      </c>
      <c r="G52" s="517">
        <v>278</v>
      </c>
      <c r="H52" s="277">
        <f t="shared" si="70"/>
        <v>5134.5</v>
      </c>
      <c r="I52" s="494">
        <v>0.5</v>
      </c>
      <c r="J52" s="490">
        <v>3800</v>
      </c>
      <c r="K52" s="491">
        <f t="shared" si="27"/>
        <v>3959.962500000001</v>
      </c>
      <c r="L52" s="491">
        <v>3810.4870739999988</v>
      </c>
      <c r="M52" s="491">
        <f t="shared" si="49"/>
        <v>-149.47542600000224</v>
      </c>
      <c r="N52" s="491"/>
      <c r="O52" s="491">
        <f t="shared" si="71"/>
        <v>4212.7260638297885</v>
      </c>
      <c r="P52" s="491">
        <v>3869.6170740000002</v>
      </c>
      <c r="Q52" s="518">
        <f t="shared" si="50"/>
        <v>90.345426000000771</v>
      </c>
      <c r="R52" s="568">
        <f t="shared" si="51"/>
        <v>35.722499999999997</v>
      </c>
      <c r="S52" s="569">
        <f t="shared" si="72"/>
        <v>5134.5</v>
      </c>
      <c r="T52" s="573">
        <f t="shared" si="96"/>
        <v>770.17499999999995</v>
      </c>
      <c r="U52" s="569">
        <f t="shared" si="53"/>
        <v>4328.6025</v>
      </c>
      <c r="V52" s="569">
        <f t="shared" si="54"/>
        <v>10269</v>
      </c>
      <c r="W52" s="570">
        <f t="shared" si="97"/>
        <v>783.62499999999989</v>
      </c>
      <c r="X52" s="569">
        <f t="shared" si="55"/>
        <v>4315.1525000000001</v>
      </c>
      <c r="Y52" s="569">
        <f t="shared" si="73"/>
        <v>15403.5</v>
      </c>
      <c r="Z52" s="570">
        <f>H52*0.2</f>
        <v>1026.9000000000001</v>
      </c>
      <c r="AA52" s="569">
        <f t="shared" si="57"/>
        <v>4071.8775000000001</v>
      </c>
      <c r="AB52" s="569">
        <f t="shared" si="74"/>
        <v>20538</v>
      </c>
      <c r="AC52" s="570">
        <f>H52*0.2</f>
        <v>1026.9000000000001</v>
      </c>
      <c r="AD52" s="569">
        <f t="shared" si="59"/>
        <v>4071.8775000000001</v>
      </c>
      <c r="AE52" s="569">
        <f t="shared" si="75"/>
        <v>25672.5</v>
      </c>
      <c r="AF52" s="571">
        <f>(AE52-25000)*0.27+(25000-AB52)*0.2</f>
        <v>1073.9750000000001</v>
      </c>
      <c r="AG52" s="569">
        <f t="shared" si="60"/>
        <v>4024.8024999999998</v>
      </c>
      <c r="AH52" s="569">
        <f t="shared" si="77"/>
        <v>30807</v>
      </c>
      <c r="AI52" s="571">
        <f t="shared" si="94"/>
        <v>1386.3150000000001</v>
      </c>
      <c r="AJ52" s="569">
        <f t="shared" si="61"/>
        <v>3712.4625000000001</v>
      </c>
      <c r="AK52" s="569">
        <f t="shared" si="79"/>
        <v>35941.5</v>
      </c>
      <c r="AL52" s="571">
        <f t="shared" si="95"/>
        <v>1386.3150000000001</v>
      </c>
      <c r="AM52" s="569">
        <f t="shared" si="62"/>
        <v>3712.4625000000001</v>
      </c>
      <c r="AN52" s="569">
        <f t="shared" si="80"/>
        <v>41076</v>
      </c>
      <c r="AO52" s="571">
        <f t="shared" si="98"/>
        <v>1386.3150000000001</v>
      </c>
      <c r="AP52" s="569">
        <f t="shared" si="63"/>
        <v>3712.4625000000001</v>
      </c>
      <c r="AQ52" s="569">
        <f t="shared" si="81"/>
        <v>46210.5</v>
      </c>
      <c r="AR52" s="571">
        <f t="shared" si="100"/>
        <v>1386.3150000000001</v>
      </c>
      <c r="AS52" s="569">
        <f t="shared" si="64"/>
        <v>3712.4625000000001</v>
      </c>
      <c r="AT52" s="569">
        <f t="shared" si="82"/>
        <v>51345</v>
      </c>
      <c r="AU52" s="571">
        <f>H52*0.27</f>
        <v>1386.3150000000001</v>
      </c>
      <c r="AV52" s="569">
        <f t="shared" si="65"/>
        <v>3712.4625000000001</v>
      </c>
      <c r="AW52" s="569">
        <f t="shared" si="83"/>
        <v>56479.5</v>
      </c>
      <c r="AX52" s="571">
        <f>H52*0.27</f>
        <v>1386.3150000000001</v>
      </c>
      <c r="AY52" s="569">
        <f t="shared" si="67"/>
        <v>3712.4625000000001</v>
      </c>
      <c r="AZ52" s="569">
        <f t="shared" si="84"/>
        <v>61614</v>
      </c>
      <c r="BA52" s="571">
        <f t="shared" si="102"/>
        <v>1386.3150000000001</v>
      </c>
      <c r="BB52" s="569">
        <f t="shared" si="69"/>
        <v>3712.4625000000001</v>
      </c>
      <c r="BC52" s="292"/>
      <c r="BE52" s="358"/>
    </row>
    <row r="53" spans="1:57" ht="73.5" customHeight="1" x14ac:dyDescent="0.5">
      <c r="A53" s="755" t="s">
        <v>173</v>
      </c>
      <c r="B53" s="753"/>
      <c r="C53" s="499">
        <v>125</v>
      </c>
      <c r="D53" s="493">
        <v>3330.68</v>
      </c>
      <c r="E53" s="493">
        <v>4163.3499999999995</v>
      </c>
      <c r="F53" s="493">
        <f t="shared" si="48"/>
        <v>7494.0299999999988</v>
      </c>
      <c r="G53" s="517">
        <v>278</v>
      </c>
      <c r="H53" s="277">
        <f t="shared" si="70"/>
        <v>4759.6534999999994</v>
      </c>
      <c r="I53" s="500">
        <v>0.41</v>
      </c>
      <c r="J53" s="490">
        <v>3023</v>
      </c>
      <c r="K53" s="491">
        <f t="shared" si="27"/>
        <v>3688.7985418999983</v>
      </c>
      <c r="L53" s="491">
        <v>3048.4967947859991</v>
      </c>
      <c r="M53" s="491">
        <f t="shared" si="49"/>
        <v>-640.30174711399923</v>
      </c>
      <c r="N53" s="491"/>
      <c r="O53" s="491">
        <f t="shared" si="71"/>
        <v>3924.253767978722</v>
      </c>
      <c r="P53" s="491">
        <v>3555.5790641059998</v>
      </c>
      <c r="Q53" s="518">
        <f t="shared" si="50"/>
        <v>133.21947779399852</v>
      </c>
      <c r="R53" s="568">
        <f t="shared" si="51"/>
        <v>33.248513099999997</v>
      </c>
      <c r="S53" s="569">
        <f t="shared" si="72"/>
        <v>4759.6534999999994</v>
      </c>
      <c r="T53" s="573">
        <f t="shared" si="96"/>
        <v>713.94802499999992</v>
      </c>
      <c r="U53" s="569">
        <f t="shared" si="53"/>
        <v>4012.4569618999994</v>
      </c>
      <c r="V53" s="569">
        <f t="shared" si="54"/>
        <v>9519.3069999999989</v>
      </c>
      <c r="W53" s="573">
        <f>H53*0.15</f>
        <v>713.94802499999992</v>
      </c>
      <c r="X53" s="569">
        <f t="shared" si="55"/>
        <v>4012.4569618999994</v>
      </c>
      <c r="Y53" s="569">
        <f t="shared" si="73"/>
        <v>14278.960499999997</v>
      </c>
      <c r="Z53" s="570">
        <f>(Y53-10000)*0.2+(10000-V53)*0.15</f>
        <v>927.89604999999972</v>
      </c>
      <c r="AA53" s="569">
        <f t="shared" si="57"/>
        <v>3798.5089368999993</v>
      </c>
      <c r="AB53" s="569">
        <f t="shared" si="74"/>
        <v>19038.613999999998</v>
      </c>
      <c r="AC53" s="570">
        <f t="shared" ref="AC53:AC54" si="103">H53*0.2</f>
        <v>951.93069999999989</v>
      </c>
      <c r="AD53" s="569">
        <f t="shared" si="59"/>
        <v>3774.4742868999992</v>
      </c>
      <c r="AE53" s="569">
        <f t="shared" si="75"/>
        <v>23798.267499999998</v>
      </c>
      <c r="AF53" s="570">
        <f>H53*0.2</f>
        <v>951.93069999999989</v>
      </c>
      <c r="AG53" s="569">
        <f t="shared" si="60"/>
        <v>3774.4742868999992</v>
      </c>
      <c r="AH53" s="569">
        <f t="shared" si="77"/>
        <v>28557.920999999995</v>
      </c>
      <c r="AI53" s="571">
        <f>(AH53-25000)*0.27+(25000-AE53)*0.2</f>
        <v>1200.985169999999</v>
      </c>
      <c r="AJ53" s="569">
        <f t="shared" si="61"/>
        <v>3525.4198169000001</v>
      </c>
      <c r="AK53" s="569">
        <f t="shared" si="79"/>
        <v>33317.574499999995</v>
      </c>
      <c r="AL53" s="571">
        <f t="shared" si="95"/>
        <v>1285.1064449999999</v>
      </c>
      <c r="AM53" s="569">
        <f t="shared" si="62"/>
        <v>3441.2985418999992</v>
      </c>
      <c r="AN53" s="569">
        <f t="shared" si="80"/>
        <v>38077.227999999996</v>
      </c>
      <c r="AO53" s="571">
        <f t="shared" si="98"/>
        <v>1285.1064449999999</v>
      </c>
      <c r="AP53" s="569">
        <f t="shared" si="63"/>
        <v>3441.2985418999992</v>
      </c>
      <c r="AQ53" s="569">
        <f t="shared" si="81"/>
        <v>42836.881499999996</v>
      </c>
      <c r="AR53" s="571">
        <f t="shared" si="100"/>
        <v>1285.1064449999999</v>
      </c>
      <c r="AS53" s="569">
        <f t="shared" si="64"/>
        <v>3441.2985418999992</v>
      </c>
      <c r="AT53" s="569">
        <f t="shared" si="82"/>
        <v>47596.534999999996</v>
      </c>
      <c r="AU53" s="571">
        <f t="shared" ref="AU53:AU54" si="104">H53*0.27</f>
        <v>1285.1064449999999</v>
      </c>
      <c r="AV53" s="569">
        <f t="shared" si="65"/>
        <v>3441.2985418999992</v>
      </c>
      <c r="AW53" s="569">
        <f t="shared" si="83"/>
        <v>52356.188499999997</v>
      </c>
      <c r="AX53" s="571">
        <f t="shared" ref="AX53:AX54" si="105">H53*0.27</f>
        <v>1285.1064449999999</v>
      </c>
      <c r="AY53" s="569">
        <f t="shared" si="67"/>
        <v>3441.2985418999992</v>
      </c>
      <c r="AZ53" s="569">
        <f t="shared" si="84"/>
        <v>57115.84199999999</v>
      </c>
      <c r="BA53" s="571">
        <f t="shared" si="102"/>
        <v>1285.1064449999999</v>
      </c>
      <c r="BB53" s="569">
        <f t="shared" si="69"/>
        <v>3441.2985418999992</v>
      </c>
      <c r="BC53" s="292"/>
      <c r="BE53" s="358"/>
    </row>
    <row r="54" spans="1:57" ht="73.5" customHeight="1" thickBot="1" x14ac:dyDescent="0.55000000000000004">
      <c r="A54" s="734" t="s">
        <v>174</v>
      </c>
      <c r="B54" s="735"/>
      <c r="C54" s="501">
        <v>75</v>
      </c>
      <c r="D54" s="502">
        <v>2498.0099999999998</v>
      </c>
      <c r="E54" s="502">
        <v>2498</v>
      </c>
      <c r="F54" s="502">
        <f t="shared" si="48"/>
        <v>4996.01</v>
      </c>
      <c r="G54" s="519">
        <v>278</v>
      </c>
      <c r="H54" s="342">
        <f t="shared" si="70"/>
        <v>3793.75</v>
      </c>
      <c r="I54" s="520">
        <v>0.63</v>
      </c>
      <c r="J54" s="521">
        <v>2822</v>
      </c>
      <c r="K54" s="522">
        <f t="shared" si="27"/>
        <v>2990.0639500000002</v>
      </c>
      <c r="L54" s="522">
        <v>2921.7573390399998</v>
      </c>
      <c r="M54" s="522">
        <f t="shared" si="49"/>
        <v>-68.306610960000398</v>
      </c>
      <c r="N54" s="522"/>
      <c r="O54" s="522">
        <f t="shared" si="71"/>
        <v>3180.9190957446813</v>
      </c>
      <c r="P54" s="522">
        <v>2921.7573390399998</v>
      </c>
      <c r="Q54" s="523">
        <f t="shared" si="50"/>
        <v>68.306610960000398</v>
      </c>
      <c r="R54" s="568">
        <f t="shared" si="51"/>
        <v>26.873550000000002</v>
      </c>
      <c r="S54" s="569">
        <f t="shared" si="72"/>
        <v>3793.75</v>
      </c>
      <c r="T54" s="573">
        <f t="shared" si="96"/>
        <v>569.0625</v>
      </c>
      <c r="U54" s="569">
        <f t="shared" si="53"/>
        <v>3197.8139500000002</v>
      </c>
      <c r="V54" s="569">
        <f t="shared" si="54"/>
        <v>7587.5</v>
      </c>
      <c r="W54" s="573">
        <f>H54*0.15</f>
        <v>569.0625</v>
      </c>
      <c r="X54" s="569">
        <f t="shared" si="55"/>
        <v>3197.8139500000002</v>
      </c>
      <c r="Y54" s="569">
        <f t="shared" si="73"/>
        <v>11381.25</v>
      </c>
      <c r="Z54" s="570">
        <f>(Y54-10000)*0.2+(10000-V54)*0.15</f>
        <v>638.125</v>
      </c>
      <c r="AA54" s="569">
        <f t="shared" si="57"/>
        <v>3128.7514500000002</v>
      </c>
      <c r="AB54" s="569">
        <f t="shared" si="74"/>
        <v>15175</v>
      </c>
      <c r="AC54" s="570">
        <f t="shared" si="103"/>
        <v>758.75</v>
      </c>
      <c r="AD54" s="569">
        <f t="shared" si="59"/>
        <v>3008.1264500000002</v>
      </c>
      <c r="AE54" s="569">
        <f t="shared" si="75"/>
        <v>18968.75</v>
      </c>
      <c r="AF54" s="570">
        <f>H54*0.2</f>
        <v>758.75</v>
      </c>
      <c r="AG54" s="569">
        <f t="shared" si="60"/>
        <v>3008.1264500000002</v>
      </c>
      <c r="AH54" s="569">
        <f t="shared" si="77"/>
        <v>22762.5</v>
      </c>
      <c r="AI54" s="570">
        <f>H54*0.2</f>
        <v>758.75</v>
      </c>
      <c r="AJ54" s="569">
        <f t="shared" si="61"/>
        <v>3008.1264500000002</v>
      </c>
      <c r="AK54" s="569">
        <f t="shared" si="79"/>
        <v>26556.25</v>
      </c>
      <c r="AL54" s="571">
        <f>(AK54-25000)*0.27+(25000-AH54)*0.2</f>
        <v>867.6875</v>
      </c>
      <c r="AM54" s="569">
        <f t="shared" si="62"/>
        <v>2899.1889500000002</v>
      </c>
      <c r="AN54" s="569">
        <f t="shared" si="80"/>
        <v>30350</v>
      </c>
      <c r="AO54" s="571">
        <f t="shared" si="98"/>
        <v>1024.3125</v>
      </c>
      <c r="AP54" s="569">
        <f t="shared" si="63"/>
        <v>2742.5639500000002</v>
      </c>
      <c r="AQ54" s="569">
        <f t="shared" si="81"/>
        <v>34143.75</v>
      </c>
      <c r="AR54" s="571">
        <f t="shared" si="100"/>
        <v>1024.3125</v>
      </c>
      <c r="AS54" s="569">
        <f t="shared" si="64"/>
        <v>2742.5639500000002</v>
      </c>
      <c r="AT54" s="569">
        <f t="shared" si="82"/>
        <v>37937.5</v>
      </c>
      <c r="AU54" s="571">
        <f t="shared" si="104"/>
        <v>1024.3125</v>
      </c>
      <c r="AV54" s="569">
        <f t="shared" si="65"/>
        <v>2742.5639500000002</v>
      </c>
      <c r="AW54" s="569">
        <f t="shared" si="83"/>
        <v>41731.25</v>
      </c>
      <c r="AX54" s="571">
        <f t="shared" si="105"/>
        <v>1024.3125</v>
      </c>
      <c r="AY54" s="569">
        <f t="shared" si="67"/>
        <v>2742.5639500000002</v>
      </c>
      <c r="AZ54" s="569">
        <f t="shared" si="84"/>
        <v>45525</v>
      </c>
      <c r="BA54" s="571">
        <f t="shared" si="102"/>
        <v>1024.3125</v>
      </c>
      <c r="BB54" s="569">
        <f t="shared" si="69"/>
        <v>2742.5639500000002</v>
      </c>
      <c r="BC54" s="292"/>
      <c r="BE54" s="358"/>
    </row>
    <row r="55" spans="1:57" x14ac:dyDescent="0.35">
      <c r="AR55" s="379"/>
    </row>
  </sheetData>
  <mergeCells count="11">
    <mergeCell ref="A28:B28"/>
    <mergeCell ref="A1:F1"/>
    <mergeCell ref="A4:B4"/>
    <mergeCell ref="A6:A14"/>
    <mergeCell ref="A15:A23"/>
    <mergeCell ref="A24:A27"/>
    <mergeCell ref="A30:A38"/>
    <mergeCell ref="A39:A46"/>
    <mergeCell ref="A47:A52"/>
    <mergeCell ref="A53:B53"/>
    <mergeCell ref="A54:B5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5"/>
  <sheetViews>
    <sheetView view="pageBreakPreview" topLeftCell="A4" zoomScale="60" zoomScaleNormal="100" workbookViewId="0">
      <selection activeCell="I35" sqref="I35"/>
    </sheetView>
  </sheetViews>
  <sheetFormatPr defaultRowHeight="21" x14ac:dyDescent="0.35"/>
  <cols>
    <col min="1" max="1" width="24.85546875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8.28515625" customWidth="1"/>
    <col min="10" max="10" width="24.42578125" customWidth="1"/>
    <col min="11" max="11" width="22.85546875" customWidth="1"/>
    <col min="12" max="14" width="22.85546875" hidden="1" customWidth="1"/>
    <col min="15" max="15" width="26" hidden="1" customWidth="1"/>
    <col min="16" max="16" width="13.28515625" style="130" customWidth="1"/>
    <col min="17" max="17" width="16.140625" style="130" bestFit="1" customWidth="1"/>
    <col min="18" max="18" width="14.140625" style="130" bestFit="1" customWidth="1"/>
    <col min="19" max="20" width="16.140625" style="130" bestFit="1" customWidth="1"/>
    <col min="21" max="21" width="14.140625" style="130" bestFit="1" customWidth="1"/>
    <col min="22" max="23" width="16.140625" style="130" bestFit="1" customWidth="1"/>
    <col min="24" max="24" width="14.140625" style="130" bestFit="1" customWidth="1"/>
    <col min="25" max="26" width="16.140625" style="130" bestFit="1" customWidth="1"/>
    <col min="27" max="27" width="14.140625" style="130" bestFit="1" customWidth="1"/>
    <col min="28" max="29" width="16.140625" style="130" bestFit="1" customWidth="1"/>
    <col min="30" max="30" width="14.140625" style="130" bestFit="1" customWidth="1"/>
    <col min="31" max="31" width="16.140625" style="130" bestFit="1" customWidth="1"/>
    <col min="32" max="32" width="17.7109375" style="130" bestFit="1" customWidth="1"/>
    <col min="33" max="33" width="14.140625" style="130" bestFit="1" customWidth="1"/>
    <col min="34" max="34" width="16.140625" style="130" bestFit="1" customWidth="1"/>
    <col min="35" max="35" width="17.7109375" style="130" bestFit="1" customWidth="1"/>
    <col min="36" max="36" width="14.140625" style="130" bestFit="1" customWidth="1"/>
    <col min="37" max="37" width="16.140625" style="130" bestFit="1" customWidth="1"/>
    <col min="38" max="38" width="17.7109375" style="130" bestFit="1" customWidth="1"/>
    <col min="39" max="39" width="18.7109375" style="130" customWidth="1"/>
    <col min="40" max="40" width="16.140625" style="130" bestFit="1" customWidth="1"/>
    <col min="41" max="41" width="17.7109375" style="130" bestFit="1" customWidth="1"/>
    <col min="42" max="42" width="14.140625" style="130" bestFit="1" customWidth="1"/>
    <col min="43" max="43" width="16.140625" style="130" bestFit="1" customWidth="1"/>
    <col min="44" max="44" width="17.7109375" style="130" bestFit="1" customWidth="1"/>
    <col min="45" max="45" width="14.140625" style="130" bestFit="1" customWidth="1"/>
    <col min="46" max="46" width="16.140625" style="130" bestFit="1" customWidth="1"/>
    <col min="47" max="47" width="17.7109375" style="130" bestFit="1" customWidth="1"/>
    <col min="48" max="48" width="14.140625" style="130" bestFit="1" customWidth="1"/>
    <col min="49" max="49" width="16.140625" style="130" bestFit="1" customWidth="1"/>
    <col min="50" max="50" width="17.7109375" style="130" bestFit="1" customWidth="1"/>
    <col min="51" max="51" width="14.140625" style="130" bestFit="1" customWidth="1"/>
    <col min="52" max="52" width="16.140625" style="130" bestFit="1" customWidth="1"/>
    <col min="55" max="55" width="17.85546875" bestFit="1" customWidth="1"/>
  </cols>
  <sheetData>
    <row r="1" spans="1:55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5" ht="24" hidden="1" thickBot="1" x14ac:dyDescent="0.4">
      <c r="A2" s="192"/>
      <c r="B2" s="2"/>
      <c r="C2" s="2"/>
      <c r="D2" s="2"/>
      <c r="E2" s="2"/>
      <c r="F2" s="2"/>
      <c r="K2" s="385"/>
      <c r="L2" s="385"/>
      <c r="M2" s="385"/>
      <c r="N2" s="385"/>
      <c r="O2" s="385"/>
    </row>
    <row r="3" spans="1:55" ht="27" hidden="1" thickBot="1" x14ac:dyDescent="0.4">
      <c r="A3" s="236" t="s">
        <v>1</v>
      </c>
      <c r="B3" s="4"/>
      <c r="C3" s="4"/>
      <c r="D3" s="4"/>
      <c r="E3" s="4"/>
      <c r="F3" s="4"/>
    </row>
    <row r="4" spans="1:55" ht="100.5" customHeight="1" x14ac:dyDescent="0.25">
      <c r="A4" s="726" t="s">
        <v>2</v>
      </c>
      <c r="B4" s="726"/>
      <c r="C4" s="532" t="s">
        <v>3</v>
      </c>
      <c r="D4" s="532" t="s">
        <v>229</v>
      </c>
      <c r="E4" s="532" t="s">
        <v>253</v>
      </c>
      <c r="F4" s="532" t="s">
        <v>231</v>
      </c>
      <c r="G4" s="532" t="s">
        <v>244</v>
      </c>
      <c r="H4" s="532" t="s">
        <v>249</v>
      </c>
      <c r="I4" s="532" t="s">
        <v>37</v>
      </c>
      <c r="J4" s="364" t="s">
        <v>279</v>
      </c>
      <c r="K4" s="364" t="s">
        <v>280</v>
      </c>
      <c r="L4" s="389"/>
      <c r="M4" s="389"/>
      <c r="N4" s="389"/>
      <c r="O4" s="389" t="s">
        <v>283</v>
      </c>
      <c r="P4" s="365" t="s">
        <v>245</v>
      </c>
      <c r="Q4" s="365">
        <v>1</v>
      </c>
      <c r="R4" s="365" t="s">
        <v>255</v>
      </c>
      <c r="S4" s="365" t="s">
        <v>267</v>
      </c>
      <c r="T4" s="365">
        <v>2</v>
      </c>
      <c r="U4" s="365" t="s">
        <v>256</v>
      </c>
      <c r="V4" s="365" t="s">
        <v>268</v>
      </c>
      <c r="W4" s="365">
        <v>3</v>
      </c>
      <c r="X4" s="365" t="s">
        <v>257</v>
      </c>
      <c r="Y4" s="365" t="s">
        <v>278</v>
      </c>
      <c r="Z4" s="365">
        <v>4</v>
      </c>
      <c r="AA4" s="365" t="s">
        <v>258</v>
      </c>
      <c r="AB4" s="365" t="s">
        <v>277</v>
      </c>
      <c r="AC4" s="365">
        <v>5</v>
      </c>
      <c r="AD4" s="365" t="s">
        <v>259</v>
      </c>
      <c r="AE4" s="365" t="s">
        <v>276</v>
      </c>
      <c r="AF4" s="365">
        <v>6</v>
      </c>
      <c r="AG4" s="365" t="s">
        <v>260</v>
      </c>
      <c r="AH4" s="365" t="s">
        <v>275</v>
      </c>
      <c r="AI4" s="365">
        <v>7</v>
      </c>
      <c r="AJ4" s="365" t="s">
        <v>261</v>
      </c>
      <c r="AK4" s="365" t="s">
        <v>274</v>
      </c>
      <c r="AL4" s="365">
        <v>8</v>
      </c>
      <c r="AM4" s="365" t="s">
        <v>262</v>
      </c>
      <c r="AN4" s="365" t="s">
        <v>273</v>
      </c>
      <c r="AO4" s="365">
        <v>9</v>
      </c>
      <c r="AP4" s="365" t="s">
        <v>263</v>
      </c>
      <c r="AQ4" s="365" t="s">
        <v>272</v>
      </c>
      <c r="AR4" s="365">
        <v>10</v>
      </c>
      <c r="AS4" s="365" t="s">
        <v>264</v>
      </c>
      <c r="AT4" s="365" t="s">
        <v>271</v>
      </c>
      <c r="AU4" s="365">
        <v>11</v>
      </c>
      <c r="AV4" s="365" t="s">
        <v>265</v>
      </c>
      <c r="AW4" s="365" t="s">
        <v>270</v>
      </c>
      <c r="AX4" s="365">
        <v>12</v>
      </c>
      <c r="AY4" s="366" t="s">
        <v>266</v>
      </c>
      <c r="AZ4" s="366" t="s">
        <v>269</v>
      </c>
    </row>
    <row r="5" spans="1:55" s="233" customFormat="1" ht="24.75" customHeight="1" x14ac:dyDescent="0.45">
      <c r="A5" s="533"/>
      <c r="B5" s="534"/>
      <c r="C5" s="535"/>
      <c r="D5" s="535"/>
      <c r="E5" s="535"/>
      <c r="F5" s="535"/>
      <c r="H5" s="357">
        <v>0.93</v>
      </c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1"/>
    </row>
    <row r="6" spans="1:55" s="233" customFormat="1" ht="45.75" customHeight="1" x14ac:dyDescent="0.45">
      <c r="A6" s="760" t="s">
        <v>11</v>
      </c>
      <c r="B6" s="409" t="s">
        <v>212</v>
      </c>
      <c r="C6" s="410">
        <v>550</v>
      </c>
      <c r="D6" s="411">
        <v>6661</v>
      </c>
      <c r="E6" s="411">
        <v>18318.739999999998</v>
      </c>
      <c r="F6" s="411">
        <v>24979.739999999998</v>
      </c>
      <c r="G6" s="537">
        <v>359</v>
      </c>
      <c r="H6" s="538">
        <v>18397.864021999998</v>
      </c>
      <c r="I6" s="544">
        <v>0.71</v>
      </c>
      <c r="J6" s="455">
        <v>12600</v>
      </c>
      <c r="K6" s="452">
        <v>12668.982978421465</v>
      </c>
      <c r="L6" s="390">
        <v>12559.370599382668</v>
      </c>
      <c r="M6" s="390">
        <f>L6-K6</f>
        <v>-109.61237903879737</v>
      </c>
      <c r="N6" s="390"/>
      <c r="O6" s="390">
        <f t="shared" ref="O6:O28" si="0">K6/0.93</f>
        <v>13622.562342388672</v>
      </c>
      <c r="P6" s="372">
        <f t="shared" ref="P6:P28" si="1">(H6+G6)*0.0066</f>
        <v>123.79530254519999</v>
      </c>
      <c r="Q6" s="373">
        <f>H6*Q$4</f>
        <v>18397.864021999998</v>
      </c>
      <c r="R6" s="374">
        <f>(Q6-10000)*0.2+10000*0.15</f>
        <v>3179.5728043999998</v>
      </c>
      <c r="S6" s="373">
        <f>H6-P6-R6</f>
        <v>15094.495915054798</v>
      </c>
      <c r="T6" s="373">
        <f>H6*2</f>
        <v>36795.728043999996</v>
      </c>
      <c r="U6" s="376">
        <f>(T6-25000)*0.27+4500-R6</f>
        <v>4505.2737674799992</v>
      </c>
      <c r="V6" s="373">
        <f t="shared" ref="V6:V28" si="2">H6-P6-U6</f>
        <v>13768.794951974798</v>
      </c>
      <c r="W6" s="373">
        <f t="shared" ref="W6:W28" si="3">H6*3</f>
        <v>55193.592065999997</v>
      </c>
      <c r="X6" s="376">
        <f>Q6*0.27</f>
        <v>4967.4232859399999</v>
      </c>
      <c r="Y6" s="373">
        <f t="shared" ref="Y6:Y28" si="4">H6-P6-X6</f>
        <v>13306.645433514797</v>
      </c>
      <c r="Z6" s="373">
        <f t="shared" ref="Z6:Z28" si="5">H6*4</f>
        <v>73591.456087999992</v>
      </c>
      <c r="AA6" s="376">
        <f t="shared" ref="AA6:AA22" si="6">H6*0.27</f>
        <v>4967.4232859399999</v>
      </c>
      <c r="AB6" s="373">
        <f>H6-P6-AA6</f>
        <v>13306.645433514797</v>
      </c>
      <c r="AC6" s="373">
        <f>H6*5</f>
        <v>91989.320109999986</v>
      </c>
      <c r="AD6" s="377">
        <f>(AC6-88000)*0.35+(88000-Z6)*0.27</f>
        <v>5286.5688947399976</v>
      </c>
      <c r="AE6" s="373">
        <f>H6-P6-AD6</f>
        <v>12987.4998247148</v>
      </c>
      <c r="AF6" s="373">
        <f>H6*6</f>
        <v>110387.18413199999</v>
      </c>
      <c r="AG6" s="377">
        <f>$H$6*0.35</f>
        <v>6439.2524076999989</v>
      </c>
      <c r="AH6" s="373">
        <f>H6-P6-AG6</f>
        <v>11834.816311754799</v>
      </c>
      <c r="AI6" s="373">
        <f>H6*7</f>
        <v>128785.04815399999</v>
      </c>
      <c r="AJ6" s="377">
        <f>$H$6*0.35</f>
        <v>6439.2524076999989</v>
      </c>
      <c r="AK6" s="373">
        <f>H6-P6-AJ6</f>
        <v>11834.816311754799</v>
      </c>
      <c r="AL6" s="373">
        <f t="shared" ref="AL6:AL28" si="7">H6*8</f>
        <v>147182.91217599998</v>
      </c>
      <c r="AM6" s="377">
        <f>$H$6*0.35</f>
        <v>6439.2524076999989</v>
      </c>
      <c r="AN6" s="373">
        <f>H6-P6-AM6</f>
        <v>11834.816311754799</v>
      </c>
      <c r="AO6" s="373">
        <f>H6*9</f>
        <v>165580.77619799998</v>
      </c>
      <c r="AP6" s="377">
        <f>$H$6*0.35</f>
        <v>6439.2524076999989</v>
      </c>
      <c r="AQ6" s="373">
        <f>H6-P6-AP6</f>
        <v>11834.816311754799</v>
      </c>
      <c r="AR6" s="373">
        <f>H6*10</f>
        <v>183978.64021999997</v>
      </c>
      <c r="AS6" s="377">
        <f>$H$6*0.35</f>
        <v>6439.2524076999989</v>
      </c>
      <c r="AT6" s="373">
        <f>H6-P6-AS6</f>
        <v>11834.816311754799</v>
      </c>
      <c r="AU6" s="373">
        <f>H6*11</f>
        <v>202376.50424199997</v>
      </c>
      <c r="AV6" s="377">
        <f>$H$6*0.35</f>
        <v>6439.2524076999989</v>
      </c>
      <c r="AW6" s="373">
        <f t="shared" ref="AW6:AW28" si="8">H6-P6-AV6</f>
        <v>11834.816311754799</v>
      </c>
      <c r="AX6" s="373">
        <f t="shared" ref="AX6:AX28" si="9">H6*12</f>
        <v>220774.36826399999</v>
      </c>
      <c r="AY6" s="377">
        <f>$H$6*0.35</f>
        <v>6439.2524076999989</v>
      </c>
      <c r="AZ6" s="373">
        <f>H6-P6-AY6</f>
        <v>11834.816311754799</v>
      </c>
      <c r="BA6" s="371"/>
      <c r="BC6" s="358"/>
    </row>
    <row r="7" spans="1:55" s="233" customFormat="1" ht="45.75" customHeight="1" x14ac:dyDescent="0.45">
      <c r="A7" s="760"/>
      <c r="B7" s="409" t="s">
        <v>211</v>
      </c>
      <c r="C7" s="410">
        <v>550</v>
      </c>
      <c r="D7" s="411">
        <v>6661</v>
      </c>
      <c r="E7" s="411">
        <v>18318.739999999998</v>
      </c>
      <c r="F7" s="411">
        <v>24979.739999999998</v>
      </c>
      <c r="G7" s="537">
        <v>359</v>
      </c>
      <c r="H7" s="538">
        <v>11753.657024</v>
      </c>
      <c r="I7" s="544">
        <v>0.32</v>
      </c>
      <c r="J7" s="455">
        <v>8500</v>
      </c>
      <c r="K7" s="452">
        <v>8394.1001959082696</v>
      </c>
      <c r="L7" s="390">
        <v>8503.712574947067</v>
      </c>
      <c r="M7" s="390">
        <f t="shared" ref="M7:M28" si="10">L7-K7</f>
        <v>109.61237903879737</v>
      </c>
      <c r="N7" s="390"/>
      <c r="O7" s="390">
        <f t="shared" si="0"/>
        <v>9025.9141891486761</v>
      </c>
      <c r="P7" s="372">
        <f t="shared" si="1"/>
        <v>79.943536358399996</v>
      </c>
      <c r="Q7" s="373">
        <f t="shared" ref="Q7:Q28" si="11">H7*Q$4</f>
        <v>11753.657024</v>
      </c>
      <c r="R7" s="374">
        <f>(Q7-10000)*0.2+1500</f>
        <v>1850.7314048000001</v>
      </c>
      <c r="S7" s="373">
        <f t="shared" ref="S7:S28" si="12">H7-P7-R7</f>
        <v>9822.9820828415995</v>
      </c>
      <c r="T7" s="373">
        <f t="shared" ref="T7:T28" si="13">H7*2</f>
        <v>23507.314048</v>
      </c>
      <c r="U7" s="374">
        <f>H7*0.2</f>
        <v>2350.7314048000003</v>
      </c>
      <c r="V7" s="373">
        <f t="shared" si="2"/>
        <v>9322.9820828415995</v>
      </c>
      <c r="W7" s="373">
        <f t="shared" si="3"/>
        <v>35260.971072</v>
      </c>
      <c r="X7" s="376">
        <f>(25000-T7)*0.2+(W7-25000)*0.27</f>
        <v>3068.9993798400001</v>
      </c>
      <c r="Y7" s="373">
        <f t="shared" si="4"/>
        <v>8604.7141078015993</v>
      </c>
      <c r="Z7" s="373">
        <f t="shared" si="5"/>
        <v>47014.628096</v>
      </c>
      <c r="AA7" s="376">
        <f t="shared" si="6"/>
        <v>3173.4873964800004</v>
      </c>
      <c r="AB7" s="373">
        <f t="shared" ref="AB7:AB28" si="14">H7-P7-AA7</f>
        <v>8500.2260911615995</v>
      </c>
      <c r="AC7" s="373">
        <f t="shared" ref="AC7:AC28" si="15">H7*5</f>
        <v>58768.28512</v>
      </c>
      <c r="AD7" s="376">
        <f t="shared" ref="AD7:AD24" si="16">H7*0.27</f>
        <v>3173.4873964800004</v>
      </c>
      <c r="AE7" s="373">
        <f t="shared" ref="AE7:AE28" si="17">H7-P7-AD7</f>
        <v>8500.2260911615995</v>
      </c>
      <c r="AF7" s="373">
        <f t="shared" ref="AF7:AF28" si="18">H7*6</f>
        <v>70521.942144000001</v>
      </c>
      <c r="AG7" s="376">
        <f t="shared" ref="AG7:AG14" si="19">H7*0.27</f>
        <v>3173.4873964800004</v>
      </c>
      <c r="AH7" s="373">
        <f t="shared" ref="AH7:AH28" si="20">H7-P7-AG7</f>
        <v>8500.2260911615995</v>
      </c>
      <c r="AI7" s="373">
        <f t="shared" ref="AI7:AI28" si="21">H7*7</f>
        <v>82275.599168000001</v>
      </c>
      <c r="AJ7" s="376">
        <f>H7*0.27</f>
        <v>3173.4873964800004</v>
      </c>
      <c r="AK7" s="373">
        <f t="shared" ref="AK7:AK28" si="22">H7-P7-AJ7</f>
        <v>8500.2260911615995</v>
      </c>
      <c r="AL7" s="373">
        <f t="shared" si="7"/>
        <v>94029.256192000001</v>
      </c>
      <c r="AM7" s="377">
        <f>(AL7-88000)*0.35+(88000-AI7)*0.27</f>
        <v>3655.8278918400001</v>
      </c>
      <c r="AN7" s="373">
        <f t="shared" ref="AN7:AN28" si="23">H7-P7-AM7</f>
        <v>8017.8855958016002</v>
      </c>
      <c r="AO7" s="373">
        <f t="shared" ref="AO7:AO28" si="24">H7*9</f>
        <v>105782.913216</v>
      </c>
      <c r="AP7" s="377">
        <f>H7*0.35</f>
        <v>4113.7799583999995</v>
      </c>
      <c r="AQ7" s="373">
        <f t="shared" ref="AQ7:AQ28" si="25">H7-P7-AP7</f>
        <v>7559.9335292416008</v>
      </c>
      <c r="AR7" s="373">
        <f t="shared" ref="AR7:AR28" si="26">H7*10</f>
        <v>117536.57024</v>
      </c>
      <c r="AS7" s="377">
        <f t="shared" ref="AS7:AS12" si="27">H7*0.35</f>
        <v>4113.7799583999995</v>
      </c>
      <c r="AT7" s="373">
        <f t="shared" ref="AT7:AT28" si="28">H7-P7-AS7</f>
        <v>7559.9335292416008</v>
      </c>
      <c r="AU7" s="373">
        <f t="shared" ref="AU7:AU28" si="29">H7*11</f>
        <v>129290.227264</v>
      </c>
      <c r="AV7" s="377">
        <f t="shared" ref="AV7:AV22" si="30">H7*0.35</f>
        <v>4113.7799583999995</v>
      </c>
      <c r="AW7" s="373">
        <f t="shared" si="8"/>
        <v>7559.9335292416008</v>
      </c>
      <c r="AX7" s="373">
        <f t="shared" si="9"/>
        <v>141043.884288</v>
      </c>
      <c r="AY7" s="377">
        <f t="shared" ref="AY7" si="31">AV7</f>
        <v>4113.7799583999995</v>
      </c>
      <c r="AZ7" s="373">
        <f t="shared" ref="AZ7:AZ28" si="32">H7-P7-AY7</f>
        <v>7559.9335292416008</v>
      </c>
      <c r="BA7" s="371"/>
      <c r="BC7" s="358"/>
    </row>
    <row r="8" spans="1:55" s="233" customFormat="1" ht="45.75" customHeight="1" x14ac:dyDescent="0.45">
      <c r="A8" s="760"/>
      <c r="B8" s="418" t="s">
        <v>213</v>
      </c>
      <c r="C8" s="406">
        <v>550</v>
      </c>
      <c r="D8" s="411">
        <v>6661</v>
      </c>
      <c r="E8" s="419">
        <v>18318.739999999998</v>
      </c>
      <c r="F8" s="419">
        <v>24979.739999999998</v>
      </c>
      <c r="G8" s="537">
        <v>359</v>
      </c>
      <c r="H8" s="538">
        <v>9538.9213579999996</v>
      </c>
      <c r="I8" s="544">
        <v>0.19</v>
      </c>
      <c r="J8" s="455">
        <v>7066</v>
      </c>
      <c r="K8" s="452">
        <v>6969.1392684038665</v>
      </c>
      <c r="L8" s="390">
        <v>7078.7516474426657</v>
      </c>
      <c r="M8" s="390">
        <f t="shared" si="10"/>
        <v>109.61237903879919</v>
      </c>
      <c r="N8" s="390"/>
      <c r="O8" s="390">
        <f t="shared" si="0"/>
        <v>7493.698138068673</v>
      </c>
      <c r="P8" s="372">
        <f t="shared" si="1"/>
        <v>65.326280962799999</v>
      </c>
      <c r="Q8" s="373">
        <f t="shared" si="11"/>
        <v>9538.9213579999996</v>
      </c>
      <c r="R8" s="378">
        <f>H8*0.15</f>
        <v>1430.8382036999999</v>
      </c>
      <c r="S8" s="373">
        <f t="shared" si="12"/>
        <v>8042.7568733372</v>
      </c>
      <c r="T8" s="373">
        <f t="shared" si="13"/>
        <v>19077.842715999999</v>
      </c>
      <c r="U8" s="374">
        <f t="shared" ref="U8" si="33">(T8-10000)*0.2+(10000-Q8)*0.15</f>
        <v>1884.7303395000001</v>
      </c>
      <c r="V8" s="373">
        <f t="shared" si="2"/>
        <v>7588.8647375372002</v>
      </c>
      <c r="W8" s="373">
        <f t="shared" si="3"/>
        <v>28616.764073999999</v>
      </c>
      <c r="X8" s="376">
        <f>(W8-25000)*0.27+(25000-T8)*0.2</f>
        <v>2160.9577567799997</v>
      </c>
      <c r="Y8" s="373">
        <f t="shared" si="4"/>
        <v>7312.6373202572004</v>
      </c>
      <c r="Z8" s="373">
        <f t="shared" si="5"/>
        <v>38155.685431999998</v>
      </c>
      <c r="AA8" s="376">
        <f t="shared" si="6"/>
        <v>2575.5087666600002</v>
      </c>
      <c r="AB8" s="373">
        <f t="shared" si="14"/>
        <v>6898.0863103771999</v>
      </c>
      <c r="AC8" s="373">
        <f t="shared" si="15"/>
        <v>47694.606789999998</v>
      </c>
      <c r="AD8" s="376">
        <f t="shared" si="16"/>
        <v>2575.5087666600002</v>
      </c>
      <c r="AE8" s="373">
        <f t="shared" si="17"/>
        <v>6898.0863103771999</v>
      </c>
      <c r="AF8" s="373">
        <f t="shared" si="18"/>
        <v>57233.528147999998</v>
      </c>
      <c r="AG8" s="376">
        <f t="shared" si="19"/>
        <v>2575.5087666600002</v>
      </c>
      <c r="AH8" s="373">
        <f t="shared" si="20"/>
        <v>6898.0863103771999</v>
      </c>
      <c r="AI8" s="373">
        <f t="shared" si="21"/>
        <v>66772.449506000004</v>
      </c>
      <c r="AJ8" s="376">
        <f>H8*0.27</f>
        <v>2575.5087666600002</v>
      </c>
      <c r="AK8" s="373">
        <f t="shared" si="22"/>
        <v>6898.0863103771999</v>
      </c>
      <c r="AL8" s="373">
        <f t="shared" si="7"/>
        <v>76311.370863999997</v>
      </c>
      <c r="AM8" s="376">
        <f>H8*0.27</f>
        <v>2575.5087666600002</v>
      </c>
      <c r="AN8" s="373">
        <f t="shared" si="23"/>
        <v>6898.0863103771999</v>
      </c>
      <c r="AO8" s="373">
        <f t="shared" si="24"/>
        <v>85850.292221999989</v>
      </c>
      <c r="AP8" s="377">
        <f>(AO8-88000)*0.35+(88000-AL8)*0.27</f>
        <v>2403.5321444199972</v>
      </c>
      <c r="AQ8" s="373">
        <f t="shared" si="25"/>
        <v>7070.0629326172029</v>
      </c>
      <c r="AR8" s="373">
        <f t="shared" si="26"/>
        <v>95389.213579999996</v>
      </c>
      <c r="AS8" s="377">
        <f t="shared" si="27"/>
        <v>3338.6224752999997</v>
      </c>
      <c r="AT8" s="373">
        <f t="shared" si="28"/>
        <v>6134.9726017372004</v>
      </c>
      <c r="AU8" s="373">
        <f t="shared" si="29"/>
        <v>104928.134938</v>
      </c>
      <c r="AV8" s="377">
        <f t="shared" si="30"/>
        <v>3338.6224752999997</v>
      </c>
      <c r="AW8" s="373">
        <f t="shared" si="8"/>
        <v>6134.9726017372004</v>
      </c>
      <c r="AX8" s="373">
        <f t="shared" si="9"/>
        <v>114467.056296</v>
      </c>
      <c r="AY8" s="377">
        <f t="shared" ref="AY8:AY22" si="34">H8*0.35</f>
        <v>3338.6224752999997</v>
      </c>
      <c r="AZ8" s="373">
        <f t="shared" si="32"/>
        <v>6134.9726017372004</v>
      </c>
      <c r="BA8" s="371"/>
      <c r="BC8" s="358"/>
    </row>
    <row r="9" spans="1:55" s="233" customFormat="1" ht="45.75" customHeight="1" x14ac:dyDescent="0.45">
      <c r="A9" s="760"/>
      <c r="B9" s="409" t="s">
        <v>32</v>
      </c>
      <c r="C9" s="410">
        <v>400</v>
      </c>
      <c r="D9" s="411">
        <v>6661</v>
      </c>
      <c r="E9" s="411">
        <v>13322.72</v>
      </c>
      <c r="F9" s="411">
        <v>19983.72</v>
      </c>
      <c r="G9" s="537">
        <v>359</v>
      </c>
      <c r="H9" s="538">
        <v>14107.781648</v>
      </c>
      <c r="I9" s="544">
        <v>0.63</v>
      </c>
      <c r="J9" s="455">
        <v>9900</v>
      </c>
      <c r="K9" s="452">
        <v>9908.743978989869</v>
      </c>
      <c r="L9" s="390">
        <v>9908.743978989869</v>
      </c>
      <c r="M9" s="390">
        <f t="shared" si="10"/>
        <v>0</v>
      </c>
      <c r="N9" s="390"/>
      <c r="O9" s="390">
        <f t="shared" si="0"/>
        <v>10654.563418268675</v>
      </c>
      <c r="P9" s="372">
        <f t="shared" si="1"/>
        <v>95.480758876799996</v>
      </c>
      <c r="Q9" s="373">
        <f t="shared" si="11"/>
        <v>14107.781648</v>
      </c>
      <c r="R9" s="374">
        <f t="shared" ref="R9:R20" si="35">(Q9-10000)*0.2+10000*0.15</f>
        <v>2321.5563296</v>
      </c>
      <c r="S9" s="373">
        <f t="shared" si="12"/>
        <v>11690.7445595232</v>
      </c>
      <c r="T9" s="373">
        <f t="shared" si="13"/>
        <v>28215.563296</v>
      </c>
      <c r="U9" s="376">
        <f>(T9-25000)*0.27+(25000-Q9)*0.2</f>
        <v>3046.6457603200001</v>
      </c>
      <c r="V9" s="373">
        <f t="shared" si="2"/>
        <v>10965.655128803201</v>
      </c>
      <c r="W9" s="373">
        <f t="shared" si="3"/>
        <v>42323.344943999997</v>
      </c>
      <c r="X9" s="376">
        <f t="shared" ref="X9:X10" si="36">Q9*0.27</f>
        <v>3809.1010449600003</v>
      </c>
      <c r="Y9" s="373">
        <f t="shared" si="4"/>
        <v>10203.1998441632</v>
      </c>
      <c r="Z9" s="373">
        <f t="shared" si="5"/>
        <v>56431.126592000001</v>
      </c>
      <c r="AA9" s="376">
        <f t="shared" si="6"/>
        <v>3809.1010449600003</v>
      </c>
      <c r="AB9" s="373">
        <f t="shared" si="14"/>
        <v>10203.1998441632</v>
      </c>
      <c r="AC9" s="373">
        <f t="shared" si="15"/>
        <v>70538.908240000004</v>
      </c>
      <c r="AD9" s="376">
        <f t="shared" si="16"/>
        <v>3809.1010449600003</v>
      </c>
      <c r="AE9" s="373">
        <f t="shared" si="17"/>
        <v>10203.1998441632</v>
      </c>
      <c r="AF9" s="373">
        <f t="shared" si="18"/>
        <v>84646.689887999994</v>
      </c>
      <c r="AG9" s="376">
        <f t="shared" si="19"/>
        <v>3809.1010449600003</v>
      </c>
      <c r="AH9" s="373">
        <f t="shared" si="20"/>
        <v>10203.1998441632</v>
      </c>
      <c r="AI9" s="373">
        <f t="shared" si="21"/>
        <v>98754.471535999997</v>
      </c>
      <c r="AJ9" s="377">
        <f>(AI9-88000)*0.35+(88000-AF9)*0.27</f>
        <v>4669.4587678400003</v>
      </c>
      <c r="AK9" s="373">
        <f t="shared" si="22"/>
        <v>9342.8421212832</v>
      </c>
      <c r="AL9" s="373">
        <f t="shared" si="7"/>
        <v>112862.253184</v>
      </c>
      <c r="AM9" s="377">
        <f>H9*0.35</f>
        <v>4937.7235768</v>
      </c>
      <c r="AN9" s="373">
        <f t="shared" si="23"/>
        <v>9074.5773123231993</v>
      </c>
      <c r="AO9" s="373">
        <f t="shared" si="24"/>
        <v>126970.034832</v>
      </c>
      <c r="AP9" s="377">
        <f>H9*0.35</f>
        <v>4937.7235768</v>
      </c>
      <c r="AQ9" s="373">
        <f t="shared" si="25"/>
        <v>9074.5773123231993</v>
      </c>
      <c r="AR9" s="373">
        <f t="shared" si="26"/>
        <v>141077.81648000001</v>
      </c>
      <c r="AS9" s="377">
        <f t="shared" si="27"/>
        <v>4937.7235768</v>
      </c>
      <c r="AT9" s="373">
        <f t="shared" si="28"/>
        <v>9074.5773123231993</v>
      </c>
      <c r="AU9" s="373">
        <f t="shared" si="29"/>
        <v>155185.59812800001</v>
      </c>
      <c r="AV9" s="377">
        <f t="shared" si="30"/>
        <v>4937.7235768</v>
      </c>
      <c r="AW9" s="373">
        <f t="shared" si="8"/>
        <v>9074.5773123231993</v>
      </c>
      <c r="AX9" s="373">
        <f t="shared" si="9"/>
        <v>169293.37977599999</v>
      </c>
      <c r="AY9" s="377">
        <f t="shared" si="34"/>
        <v>4937.7235768</v>
      </c>
      <c r="AZ9" s="373">
        <f t="shared" si="32"/>
        <v>9074.5773123231993</v>
      </c>
      <c r="BA9" s="371"/>
      <c r="BC9" s="358"/>
    </row>
    <row r="10" spans="1:55" s="233" customFormat="1" ht="45.75" customHeight="1" x14ac:dyDescent="0.45">
      <c r="A10" s="760"/>
      <c r="B10" s="409" t="s">
        <v>233</v>
      </c>
      <c r="C10" s="410">
        <v>400</v>
      </c>
      <c r="D10" s="411">
        <v>6661</v>
      </c>
      <c r="E10" s="411">
        <v>13322.72</v>
      </c>
      <c r="F10" s="411">
        <v>19983.72</v>
      </c>
      <c r="G10" s="537">
        <v>359</v>
      </c>
      <c r="H10" s="538">
        <v>12497.0648</v>
      </c>
      <c r="I10" s="544">
        <v>0.5</v>
      </c>
      <c r="J10" s="455">
        <v>8900</v>
      </c>
      <c r="K10" s="452">
        <v>8872.3745149866663</v>
      </c>
      <c r="L10" s="390">
        <v>8872.3745149866663</v>
      </c>
      <c r="M10" s="390">
        <f t="shared" si="10"/>
        <v>0</v>
      </c>
      <c r="N10" s="390"/>
      <c r="O10" s="390">
        <f t="shared" si="0"/>
        <v>9540.1876505232958</v>
      </c>
      <c r="P10" s="372">
        <f t="shared" si="1"/>
        <v>84.850027679999997</v>
      </c>
      <c r="Q10" s="373">
        <f t="shared" si="11"/>
        <v>12497.0648</v>
      </c>
      <c r="R10" s="374">
        <f t="shared" si="35"/>
        <v>1999.4129600000001</v>
      </c>
      <c r="S10" s="373">
        <f t="shared" si="12"/>
        <v>10412.80181232</v>
      </c>
      <c r="T10" s="373">
        <f t="shared" si="13"/>
        <v>24994.1296</v>
      </c>
      <c r="U10" s="376">
        <f>H10*0.2</f>
        <v>2499.4129600000001</v>
      </c>
      <c r="V10" s="373">
        <f t="shared" si="2"/>
        <v>9912.80181232</v>
      </c>
      <c r="W10" s="373">
        <f t="shared" si="3"/>
        <v>37491.1944</v>
      </c>
      <c r="X10" s="376">
        <f t="shared" si="36"/>
        <v>3374.2074960000004</v>
      </c>
      <c r="Y10" s="373">
        <f t="shared" si="4"/>
        <v>9038.0072763199987</v>
      </c>
      <c r="Z10" s="373">
        <f t="shared" si="5"/>
        <v>49988.2592</v>
      </c>
      <c r="AA10" s="376">
        <f t="shared" si="6"/>
        <v>3374.2074960000004</v>
      </c>
      <c r="AB10" s="373">
        <f t="shared" si="14"/>
        <v>9038.0072763199987</v>
      </c>
      <c r="AC10" s="373">
        <f t="shared" si="15"/>
        <v>62485.324000000001</v>
      </c>
      <c r="AD10" s="376">
        <f t="shared" si="16"/>
        <v>3374.2074960000004</v>
      </c>
      <c r="AE10" s="373">
        <f t="shared" si="17"/>
        <v>9038.0072763199987</v>
      </c>
      <c r="AF10" s="373">
        <f t="shared" si="18"/>
        <v>74982.388800000001</v>
      </c>
      <c r="AG10" s="376">
        <f t="shared" si="19"/>
        <v>3374.2074960000004</v>
      </c>
      <c r="AH10" s="373">
        <f t="shared" si="20"/>
        <v>9038.0072763199987</v>
      </c>
      <c r="AI10" s="373">
        <f t="shared" si="21"/>
        <v>87479.453600000008</v>
      </c>
      <c r="AJ10" s="376">
        <f>H10*0.27</f>
        <v>3374.2074960000004</v>
      </c>
      <c r="AK10" s="373">
        <f t="shared" si="22"/>
        <v>9038.0072763199987</v>
      </c>
      <c r="AL10" s="373">
        <f t="shared" si="7"/>
        <v>99976.518400000001</v>
      </c>
      <c r="AM10" s="377">
        <f>(AL10-88000)*0.35+(88000-AI10)*0.27</f>
        <v>4332.328967999998</v>
      </c>
      <c r="AN10" s="373">
        <f t="shared" si="23"/>
        <v>8079.8858043200016</v>
      </c>
      <c r="AO10" s="373">
        <f t="shared" si="24"/>
        <v>112473.58319999999</v>
      </c>
      <c r="AP10" s="377">
        <f>H10*0.35</f>
        <v>4373.9726799999999</v>
      </c>
      <c r="AQ10" s="373">
        <f t="shared" si="25"/>
        <v>8038.2420923199998</v>
      </c>
      <c r="AR10" s="373">
        <f t="shared" si="26"/>
        <v>124970.648</v>
      </c>
      <c r="AS10" s="377">
        <f t="shared" si="27"/>
        <v>4373.9726799999999</v>
      </c>
      <c r="AT10" s="373">
        <f t="shared" si="28"/>
        <v>8038.2420923199998</v>
      </c>
      <c r="AU10" s="373">
        <f t="shared" si="29"/>
        <v>137467.71280000001</v>
      </c>
      <c r="AV10" s="377">
        <f t="shared" si="30"/>
        <v>4373.9726799999999</v>
      </c>
      <c r="AW10" s="373">
        <f t="shared" si="8"/>
        <v>8038.2420923199998</v>
      </c>
      <c r="AX10" s="373">
        <f t="shared" si="9"/>
        <v>149964.7776</v>
      </c>
      <c r="AY10" s="377">
        <f t="shared" si="34"/>
        <v>4373.9726799999999</v>
      </c>
      <c r="AZ10" s="373">
        <f t="shared" si="32"/>
        <v>8038.2420923199998</v>
      </c>
      <c r="BA10" s="371"/>
      <c r="BC10" s="358"/>
    </row>
    <row r="11" spans="1:55" s="233" customFormat="1" ht="45.75" customHeight="1" x14ac:dyDescent="0.45">
      <c r="A11" s="760"/>
      <c r="B11" s="418" t="s">
        <v>234</v>
      </c>
      <c r="C11" s="406">
        <v>300</v>
      </c>
      <c r="D11" s="411">
        <v>6661</v>
      </c>
      <c r="E11" s="419">
        <v>9992.0399999999991</v>
      </c>
      <c r="F11" s="419">
        <v>16653.04</v>
      </c>
      <c r="G11" s="537">
        <v>359</v>
      </c>
      <c r="H11" s="538">
        <v>10204.890824</v>
      </c>
      <c r="I11" s="544">
        <v>0.42</v>
      </c>
      <c r="J11" s="455">
        <v>7400</v>
      </c>
      <c r="K11" s="452">
        <v>7397.624022828265</v>
      </c>
      <c r="L11" s="390">
        <v>7397.624022828265</v>
      </c>
      <c r="M11" s="390">
        <f t="shared" si="10"/>
        <v>0</v>
      </c>
      <c r="N11" s="390"/>
      <c r="O11" s="390">
        <f t="shared" si="0"/>
        <v>7954.4344331486718</v>
      </c>
      <c r="P11" s="372">
        <f t="shared" si="1"/>
        <v>69.721679438400002</v>
      </c>
      <c r="Q11" s="373">
        <f t="shared" si="11"/>
        <v>10204.890824</v>
      </c>
      <c r="R11" s="374">
        <f t="shared" si="35"/>
        <v>1540.9781648000001</v>
      </c>
      <c r="S11" s="373">
        <f t="shared" si="12"/>
        <v>8594.190979761599</v>
      </c>
      <c r="T11" s="373">
        <f t="shared" si="13"/>
        <v>20409.781648</v>
      </c>
      <c r="U11" s="374">
        <f>H11*0.2</f>
        <v>2040.9781648000001</v>
      </c>
      <c r="V11" s="373">
        <f t="shared" si="2"/>
        <v>8094.1909797615999</v>
      </c>
      <c r="W11" s="373">
        <f t="shared" si="3"/>
        <v>30614.672471999998</v>
      </c>
      <c r="X11" s="376">
        <f>(W11-25000)*0.27+(25000-T11)*0.2</f>
        <v>2434.0052378399996</v>
      </c>
      <c r="Y11" s="373">
        <f t="shared" si="4"/>
        <v>7701.1639067216001</v>
      </c>
      <c r="Z11" s="373">
        <f t="shared" si="5"/>
        <v>40819.563296</v>
      </c>
      <c r="AA11" s="376">
        <f t="shared" si="6"/>
        <v>2755.3205224800004</v>
      </c>
      <c r="AB11" s="373">
        <f t="shared" si="14"/>
        <v>7379.8486220815994</v>
      </c>
      <c r="AC11" s="373">
        <f t="shared" si="15"/>
        <v>51024.454120000002</v>
      </c>
      <c r="AD11" s="376">
        <f t="shared" si="16"/>
        <v>2755.3205224800004</v>
      </c>
      <c r="AE11" s="373">
        <f t="shared" si="17"/>
        <v>7379.8486220815994</v>
      </c>
      <c r="AF11" s="373">
        <f t="shared" si="18"/>
        <v>61229.344943999997</v>
      </c>
      <c r="AG11" s="376">
        <f t="shared" si="19"/>
        <v>2755.3205224800004</v>
      </c>
      <c r="AH11" s="373">
        <f t="shared" si="20"/>
        <v>7379.8486220815994</v>
      </c>
      <c r="AI11" s="373">
        <f t="shared" si="21"/>
        <v>71434.235767999999</v>
      </c>
      <c r="AJ11" s="376">
        <f>H11*0.27</f>
        <v>2755.3205224800004</v>
      </c>
      <c r="AK11" s="373">
        <f t="shared" si="22"/>
        <v>7379.8486220815994</v>
      </c>
      <c r="AL11" s="373">
        <f t="shared" si="7"/>
        <v>81639.126592000001</v>
      </c>
      <c r="AM11" s="376">
        <f>H11*0.27</f>
        <v>2755.3205224800004</v>
      </c>
      <c r="AN11" s="373">
        <f t="shared" si="23"/>
        <v>7379.8486220815994</v>
      </c>
      <c r="AO11" s="373">
        <f t="shared" si="24"/>
        <v>91844.017416000002</v>
      </c>
      <c r="AP11" s="377">
        <f>(AO11-88000)*0.35+(88000-AL11)*0.27</f>
        <v>3062.841915760001</v>
      </c>
      <c r="AQ11" s="373">
        <f t="shared" si="25"/>
        <v>7072.3272288015987</v>
      </c>
      <c r="AR11" s="373">
        <f t="shared" si="26"/>
        <v>102048.90824</v>
      </c>
      <c r="AS11" s="377">
        <f t="shared" si="27"/>
        <v>3571.7117883999999</v>
      </c>
      <c r="AT11" s="373">
        <f t="shared" si="28"/>
        <v>6563.4573561615998</v>
      </c>
      <c r="AU11" s="373">
        <f t="shared" si="29"/>
        <v>112253.79906400001</v>
      </c>
      <c r="AV11" s="377">
        <f t="shared" si="30"/>
        <v>3571.7117883999999</v>
      </c>
      <c r="AW11" s="373">
        <f t="shared" si="8"/>
        <v>6563.4573561615998</v>
      </c>
      <c r="AX11" s="373">
        <f t="shared" si="9"/>
        <v>122458.68988799999</v>
      </c>
      <c r="AY11" s="377">
        <f t="shared" si="34"/>
        <v>3571.7117883999999</v>
      </c>
      <c r="AZ11" s="373">
        <f t="shared" si="32"/>
        <v>6563.4573561615998</v>
      </c>
      <c r="BA11" s="371"/>
      <c r="BC11" s="358"/>
    </row>
    <row r="12" spans="1:55" s="380" customFormat="1" ht="45.75" customHeight="1" x14ac:dyDescent="0.45">
      <c r="A12" s="760"/>
      <c r="B12" s="418" t="s">
        <v>236</v>
      </c>
      <c r="C12" s="406">
        <v>300</v>
      </c>
      <c r="D12" s="411">
        <v>6661</v>
      </c>
      <c r="E12" s="419">
        <v>9992.0399999999991</v>
      </c>
      <c r="F12" s="419">
        <v>16653.04</v>
      </c>
      <c r="G12" s="537">
        <v>359</v>
      </c>
      <c r="H12" s="538">
        <v>9926.1129079999992</v>
      </c>
      <c r="I12" s="544">
        <v>0.39</v>
      </c>
      <c r="J12" s="455">
        <v>7200</v>
      </c>
      <c r="K12" s="452">
        <v>7218.2583116738651</v>
      </c>
      <c r="L12" s="390">
        <v>7218.2583116738651</v>
      </c>
      <c r="M12" s="390">
        <f t="shared" si="10"/>
        <v>0</v>
      </c>
      <c r="N12" s="390"/>
      <c r="O12" s="390">
        <f t="shared" si="0"/>
        <v>7761.5680770686722</v>
      </c>
      <c r="P12" s="372">
        <f t="shared" si="1"/>
        <v>67.881745192799997</v>
      </c>
      <c r="Q12" s="373">
        <f t="shared" si="11"/>
        <v>9926.1129079999992</v>
      </c>
      <c r="R12" s="378">
        <f>(Q12*0.15)</f>
        <v>1488.9169361999998</v>
      </c>
      <c r="S12" s="373">
        <f t="shared" si="12"/>
        <v>8369.3142266071991</v>
      </c>
      <c r="T12" s="373">
        <f t="shared" si="13"/>
        <v>19852.225815999998</v>
      </c>
      <c r="U12" s="374">
        <f>(T12-10000)*0.2+(10000-Q12)*0.15</f>
        <v>1981.528227</v>
      </c>
      <c r="V12" s="373">
        <f t="shared" si="2"/>
        <v>7876.7029358071986</v>
      </c>
      <c r="W12" s="373">
        <f t="shared" si="3"/>
        <v>29778.338723999997</v>
      </c>
      <c r="X12" s="382">
        <f>(W12-25000)*0.27+(25000-T12)*0.2</f>
        <v>2319.7062922799996</v>
      </c>
      <c r="Y12" s="373">
        <f t="shared" si="4"/>
        <v>7538.5248705271988</v>
      </c>
      <c r="Z12" s="373">
        <f t="shared" si="5"/>
        <v>39704.451631999997</v>
      </c>
      <c r="AA12" s="382">
        <f t="shared" si="6"/>
        <v>2680.0504851599999</v>
      </c>
      <c r="AB12" s="373">
        <f t="shared" si="14"/>
        <v>7178.1806776471985</v>
      </c>
      <c r="AC12" s="373">
        <f t="shared" si="15"/>
        <v>49630.564539999992</v>
      </c>
      <c r="AD12" s="382">
        <f t="shared" si="16"/>
        <v>2680.0504851599999</v>
      </c>
      <c r="AE12" s="373">
        <f t="shared" si="17"/>
        <v>7178.1806776471985</v>
      </c>
      <c r="AF12" s="373">
        <f t="shared" si="18"/>
        <v>59556.677447999995</v>
      </c>
      <c r="AG12" s="382">
        <f t="shared" si="19"/>
        <v>2680.0504851599999</v>
      </c>
      <c r="AH12" s="373">
        <f t="shared" si="20"/>
        <v>7178.1806776471985</v>
      </c>
      <c r="AI12" s="373">
        <f t="shared" si="21"/>
        <v>69482.790355999998</v>
      </c>
      <c r="AJ12" s="382">
        <f>H12*0.27</f>
        <v>2680.0504851599999</v>
      </c>
      <c r="AK12" s="373">
        <f t="shared" si="22"/>
        <v>7178.1806776471985</v>
      </c>
      <c r="AL12" s="373">
        <f t="shared" si="7"/>
        <v>79408.903263999993</v>
      </c>
      <c r="AM12" s="376">
        <f>H12*0.27</f>
        <v>2680.0504851599999</v>
      </c>
      <c r="AN12" s="373">
        <f t="shared" si="23"/>
        <v>7178.1806776471985</v>
      </c>
      <c r="AO12" s="373">
        <f t="shared" si="24"/>
        <v>89335.016171999989</v>
      </c>
      <c r="AP12" s="377">
        <f>(AO12-88000)*0.35+(88000-AL12)*0.27</f>
        <v>2786.8517789199977</v>
      </c>
      <c r="AQ12" s="373">
        <f t="shared" si="25"/>
        <v>7071.3793838872007</v>
      </c>
      <c r="AR12" s="373">
        <f t="shared" si="26"/>
        <v>99261.129079999984</v>
      </c>
      <c r="AS12" s="383">
        <f t="shared" si="27"/>
        <v>3474.1395177999993</v>
      </c>
      <c r="AT12" s="373">
        <f t="shared" si="28"/>
        <v>6384.0916450071991</v>
      </c>
      <c r="AU12" s="373">
        <f t="shared" si="29"/>
        <v>109187.24198799999</v>
      </c>
      <c r="AV12" s="383">
        <f t="shared" si="30"/>
        <v>3474.1395177999993</v>
      </c>
      <c r="AW12" s="373">
        <f t="shared" si="8"/>
        <v>6384.0916450071991</v>
      </c>
      <c r="AX12" s="373">
        <f t="shared" si="9"/>
        <v>119113.35489599999</v>
      </c>
      <c r="AY12" s="383">
        <f t="shared" si="34"/>
        <v>3474.1395177999993</v>
      </c>
      <c r="AZ12" s="373">
        <f t="shared" si="32"/>
        <v>6384.0916450071991</v>
      </c>
      <c r="BA12" s="384"/>
      <c r="BC12" s="358"/>
    </row>
    <row r="13" spans="1:55" s="233" customFormat="1" ht="45.75" customHeight="1" x14ac:dyDescent="0.45">
      <c r="A13" s="760"/>
      <c r="B13" s="418" t="s">
        <v>235</v>
      </c>
      <c r="C13" s="406">
        <v>300</v>
      </c>
      <c r="D13" s="411">
        <v>6661</v>
      </c>
      <c r="E13" s="419">
        <v>9992.0399999999991</v>
      </c>
      <c r="F13" s="419">
        <v>16653.04</v>
      </c>
      <c r="G13" s="537">
        <v>359</v>
      </c>
      <c r="H13" s="538">
        <v>9275.6311040000001</v>
      </c>
      <c r="I13" s="544">
        <v>0.32</v>
      </c>
      <c r="J13" s="455">
        <v>6800</v>
      </c>
      <c r="K13" s="452">
        <v>6799.7383189802667</v>
      </c>
      <c r="L13" s="390">
        <v>6799.7383189802667</v>
      </c>
      <c r="M13" s="390">
        <f t="shared" si="10"/>
        <v>0</v>
      </c>
      <c r="N13" s="390"/>
      <c r="O13" s="390">
        <f t="shared" si="0"/>
        <v>7311.5465795486734</v>
      </c>
      <c r="P13" s="372">
        <f t="shared" si="1"/>
        <v>63.588565286399998</v>
      </c>
      <c r="Q13" s="373">
        <f t="shared" si="11"/>
        <v>9275.6311040000001</v>
      </c>
      <c r="R13" s="378">
        <f>(Q13*0.15)</f>
        <v>1391.3446655999999</v>
      </c>
      <c r="S13" s="373">
        <f t="shared" si="12"/>
        <v>7820.6978731136005</v>
      </c>
      <c r="T13" s="373">
        <f t="shared" si="13"/>
        <v>18551.262208</v>
      </c>
      <c r="U13" s="374">
        <f>(T13-10000)*0.2+(10000-Q13)*0.15</f>
        <v>1818.907776</v>
      </c>
      <c r="V13" s="373">
        <f t="shared" si="2"/>
        <v>7393.1347627136001</v>
      </c>
      <c r="W13" s="373">
        <f t="shared" si="3"/>
        <v>27826.893312</v>
      </c>
      <c r="X13" s="376">
        <f>(W13-25000)*0.27+(25000-T13)*0.2</f>
        <v>2053.0087526400002</v>
      </c>
      <c r="Y13" s="373">
        <f t="shared" si="4"/>
        <v>7159.0337860735999</v>
      </c>
      <c r="Z13" s="373">
        <f t="shared" si="5"/>
        <v>37102.524416</v>
      </c>
      <c r="AA13" s="376">
        <f t="shared" si="6"/>
        <v>2504.4203980800003</v>
      </c>
      <c r="AB13" s="373">
        <f t="shared" si="14"/>
        <v>6707.6221406335999</v>
      </c>
      <c r="AC13" s="373">
        <f t="shared" si="15"/>
        <v>46378.15552</v>
      </c>
      <c r="AD13" s="376">
        <f t="shared" si="16"/>
        <v>2504.4203980800003</v>
      </c>
      <c r="AE13" s="373">
        <f t="shared" si="17"/>
        <v>6707.6221406335999</v>
      </c>
      <c r="AF13" s="373">
        <f t="shared" si="18"/>
        <v>55653.786624</v>
      </c>
      <c r="AG13" s="376">
        <f t="shared" si="19"/>
        <v>2504.4203980800003</v>
      </c>
      <c r="AH13" s="373">
        <f t="shared" si="20"/>
        <v>6707.6221406335999</v>
      </c>
      <c r="AI13" s="373">
        <f t="shared" si="21"/>
        <v>64929.417728</v>
      </c>
      <c r="AJ13" s="376">
        <f>H13*0.27</f>
        <v>2504.4203980800003</v>
      </c>
      <c r="AK13" s="373">
        <f t="shared" si="22"/>
        <v>6707.6221406335999</v>
      </c>
      <c r="AL13" s="373">
        <f t="shared" si="7"/>
        <v>74205.048832</v>
      </c>
      <c r="AM13" s="376">
        <f>H13*0.27</f>
        <v>2504.4203980800003</v>
      </c>
      <c r="AN13" s="373">
        <f t="shared" si="23"/>
        <v>6707.6221406335999</v>
      </c>
      <c r="AO13" s="373">
        <f t="shared" si="24"/>
        <v>83480.679936</v>
      </c>
      <c r="AP13" s="376">
        <f>H13*0.27</f>
        <v>2504.4203980800003</v>
      </c>
      <c r="AQ13" s="373">
        <f t="shared" si="25"/>
        <v>6707.6221406335999</v>
      </c>
      <c r="AR13" s="373">
        <f t="shared" si="26"/>
        <v>92756.311040000001</v>
      </c>
      <c r="AS13" s="377">
        <f>(AR13-88000)*0.35+(88000-AO13)*0.27</f>
        <v>2884.92528128</v>
      </c>
      <c r="AT13" s="373">
        <f t="shared" si="28"/>
        <v>6327.1172574335997</v>
      </c>
      <c r="AU13" s="373">
        <f t="shared" si="29"/>
        <v>102031.942144</v>
      </c>
      <c r="AV13" s="377">
        <f t="shared" si="30"/>
        <v>3246.4708863999999</v>
      </c>
      <c r="AW13" s="373">
        <f t="shared" si="8"/>
        <v>5965.5716523135998</v>
      </c>
      <c r="AX13" s="373">
        <f t="shared" si="9"/>
        <v>111307.573248</v>
      </c>
      <c r="AY13" s="377">
        <f t="shared" si="34"/>
        <v>3246.4708863999999</v>
      </c>
      <c r="AZ13" s="373">
        <f t="shared" si="32"/>
        <v>5965.5716523135998</v>
      </c>
      <c r="BA13" s="371"/>
      <c r="BC13" s="358"/>
    </row>
    <row r="14" spans="1:55" s="233" customFormat="1" ht="45.75" customHeight="1" x14ac:dyDescent="0.45">
      <c r="A14" s="760"/>
      <c r="B14" s="409" t="s">
        <v>216</v>
      </c>
      <c r="C14" s="410">
        <v>300</v>
      </c>
      <c r="D14" s="411">
        <v>6661</v>
      </c>
      <c r="E14" s="411">
        <v>9992.0399999999991</v>
      </c>
      <c r="F14" s="411">
        <v>16653.04</v>
      </c>
      <c r="G14" s="537">
        <v>359</v>
      </c>
      <c r="H14" s="538">
        <v>8346.371384</v>
      </c>
      <c r="I14" s="544">
        <v>0.22</v>
      </c>
      <c r="J14" s="455">
        <v>6200</v>
      </c>
      <c r="K14" s="452">
        <v>6201.8526151322667</v>
      </c>
      <c r="L14" s="390">
        <v>6201.8526151322667</v>
      </c>
      <c r="M14" s="390">
        <f t="shared" si="10"/>
        <v>0</v>
      </c>
      <c r="N14" s="390"/>
      <c r="O14" s="390">
        <f t="shared" si="0"/>
        <v>6668.6587259486732</v>
      </c>
      <c r="P14" s="372">
        <f t="shared" si="1"/>
        <v>57.455451134400001</v>
      </c>
      <c r="Q14" s="373">
        <f t="shared" si="11"/>
        <v>8346.371384</v>
      </c>
      <c r="R14" s="378">
        <f>(Q14*0.15)</f>
        <v>1251.9557075999999</v>
      </c>
      <c r="S14" s="373">
        <f t="shared" si="12"/>
        <v>7036.9602252656005</v>
      </c>
      <c r="T14" s="373">
        <f t="shared" si="13"/>
        <v>16692.742768</v>
      </c>
      <c r="U14" s="374">
        <f>(T14-10000)*0.2+(10000-Q14)*0.15</f>
        <v>1586.592846</v>
      </c>
      <c r="V14" s="373">
        <f t="shared" si="2"/>
        <v>6702.323086865601</v>
      </c>
      <c r="W14" s="373">
        <f t="shared" si="3"/>
        <v>25039.114152000002</v>
      </c>
      <c r="X14" s="376">
        <f>(W14-25000)*0.27+(25000-T14)*0.2</f>
        <v>1672.0122674400006</v>
      </c>
      <c r="Y14" s="373">
        <f t="shared" si="4"/>
        <v>6616.9036654255997</v>
      </c>
      <c r="Z14" s="373">
        <f t="shared" si="5"/>
        <v>33385.485536</v>
      </c>
      <c r="AA14" s="376">
        <f t="shared" si="6"/>
        <v>2253.5202736800002</v>
      </c>
      <c r="AB14" s="373">
        <f t="shared" si="14"/>
        <v>6035.3956591856004</v>
      </c>
      <c r="AC14" s="373">
        <f t="shared" si="15"/>
        <v>41731.856919999998</v>
      </c>
      <c r="AD14" s="376">
        <f t="shared" si="16"/>
        <v>2253.5202736800002</v>
      </c>
      <c r="AE14" s="373">
        <f t="shared" si="17"/>
        <v>6035.3956591856004</v>
      </c>
      <c r="AF14" s="373">
        <f t="shared" si="18"/>
        <v>50078.228304000004</v>
      </c>
      <c r="AG14" s="376">
        <f t="shared" si="19"/>
        <v>2253.5202736800002</v>
      </c>
      <c r="AH14" s="373">
        <f t="shared" si="20"/>
        <v>6035.3956591856004</v>
      </c>
      <c r="AI14" s="373">
        <f t="shared" si="21"/>
        <v>58424.599688000002</v>
      </c>
      <c r="AJ14" s="376">
        <f>H14*0.27</f>
        <v>2253.5202736800002</v>
      </c>
      <c r="AK14" s="373">
        <f t="shared" si="22"/>
        <v>6035.3956591856004</v>
      </c>
      <c r="AL14" s="373">
        <f t="shared" si="7"/>
        <v>66770.971072</v>
      </c>
      <c r="AM14" s="376">
        <f>H14*0.27</f>
        <v>2253.5202736800002</v>
      </c>
      <c r="AN14" s="373">
        <f t="shared" si="23"/>
        <v>6035.3956591856004</v>
      </c>
      <c r="AO14" s="373">
        <f t="shared" si="24"/>
        <v>75117.342455999998</v>
      </c>
      <c r="AP14" s="376">
        <f>H14*0.27</f>
        <v>2253.5202736800002</v>
      </c>
      <c r="AQ14" s="373">
        <f t="shared" si="25"/>
        <v>6035.3956591856004</v>
      </c>
      <c r="AR14" s="373">
        <f t="shared" si="26"/>
        <v>83463.713839999997</v>
      </c>
      <c r="AS14" s="376">
        <f>H14*0.27</f>
        <v>2253.5202736800002</v>
      </c>
      <c r="AT14" s="373">
        <f t="shared" si="28"/>
        <v>6035.3956591856004</v>
      </c>
      <c r="AU14" s="373">
        <f t="shared" si="29"/>
        <v>91810.085223999995</v>
      </c>
      <c r="AV14" s="377">
        <f>(AU14-88000)*0.35+(88000-AR14)*0.27</f>
        <v>2558.3270915999992</v>
      </c>
      <c r="AW14" s="373">
        <f t="shared" si="8"/>
        <v>5730.5888412656013</v>
      </c>
      <c r="AX14" s="373">
        <f t="shared" si="9"/>
        <v>100156.45660800001</v>
      </c>
      <c r="AY14" s="377">
        <f t="shared" si="34"/>
        <v>2921.2299843999999</v>
      </c>
      <c r="AZ14" s="373">
        <f t="shared" si="32"/>
        <v>5367.6859484656006</v>
      </c>
      <c r="BA14" s="371"/>
      <c r="BC14" s="358"/>
    </row>
    <row r="15" spans="1:55" s="233" customFormat="1" ht="45.75" customHeight="1" x14ac:dyDescent="0.45">
      <c r="A15" s="760" t="s">
        <v>15</v>
      </c>
      <c r="B15" s="418" t="s">
        <v>215</v>
      </c>
      <c r="C15" s="406">
        <v>600</v>
      </c>
      <c r="D15" s="419">
        <v>4996.0199999999995</v>
      </c>
      <c r="E15" s="419">
        <v>19984.079999999998</v>
      </c>
      <c r="F15" s="419">
        <v>24980.1</v>
      </c>
      <c r="G15" s="537">
        <v>359</v>
      </c>
      <c r="H15" s="538">
        <v>17274.952192000001</v>
      </c>
      <c r="I15" s="544">
        <v>0.68</v>
      </c>
      <c r="J15" s="455">
        <v>11900</v>
      </c>
      <c r="K15" s="452">
        <v>11946.501506999464</v>
      </c>
      <c r="L15" s="390">
        <v>11826.924366229863</v>
      </c>
      <c r="M15" s="390">
        <f t="shared" si="10"/>
        <v>-119.5771407696011</v>
      </c>
      <c r="N15" s="390"/>
      <c r="O15" s="390">
        <f t="shared" si="0"/>
        <v>12845.700545160713</v>
      </c>
      <c r="P15" s="372">
        <f t="shared" si="1"/>
        <v>116.3840844672</v>
      </c>
      <c r="Q15" s="373">
        <f t="shared" si="11"/>
        <v>17274.952192000001</v>
      </c>
      <c r="R15" s="374">
        <f t="shared" si="35"/>
        <v>2954.9904384000001</v>
      </c>
      <c r="S15" s="373">
        <f t="shared" si="12"/>
        <v>14203.577669132799</v>
      </c>
      <c r="T15" s="373">
        <f t="shared" si="13"/>
        <v>34549.904384000001</v>
      </c>
      <c r="U15" s="376">
        <f>(T15-25000)*0.27+(25000-Q15)*0.2</f>
        <v>4123.4837452800002</v>
      </c>
      <c r="V15" s="373">
        <f t="shared" si="2"/>
        <v>13035.084362252799</v>
      </c>
      <c r="W15" s="373">
        <f t="shared" si="3"/>
        <v>51824.856576000006</v>
      </c>
      <c r="X15" s="376">
        <f>H15*0.27</f>
        <v>4664.2370918400002</v>
      </c>
      <c r="Y15" s="373">
        <f t="shared" si="4"/>
        <v>12494.331015692798</v>
      </c>
      <c r="Z15" s="373">
        <f t="shared" si="5"/>
        <v>69099.808768000003</v>
      </c>
      <c r="AA15" s="376">
        <f t="shared" si="6"/>
        <v>4664.2370918400002</v>
      </c>
      <c r="AB15" s="373">
        <f t="shared" si="14"/>
        <v>12494.331015692798</v>
      </c>
      <c r="AC15" s="373">
        <f t="shared" si="15"/>
        <v>86374.76096</v>
      </c>
      <c r="AD15" s="376">
        <f t="shared" si="16"/>
        <v>4664.2370918400002</v>
      </c>
      <c r="AE15" s="373">
        <f t="shared" si="17"/>
        <v>12494.331015692798</v>
      </c>
      <c r="AF15" s="373">
        <f t="shared" si="18"/>
        <v>103649.71315200001</v>
      </c>
      <c r="AG15" s="377">
        <f>(AF15-88000)*0.35+(88000-AC15)*0.27</f>
        <v>5916.2141440000032</v>
      </c>
      <c r="AH15" s="373">
        <f t="shared" si="20"/>
        <v>11242.353963532796</v>
      </c>
      <c r="AI15" s="373">
        <f t="shared" si="21"/>
        <v>120924.66534400001</v>
      </c>
      <c r="AJ15" s="377">
        <f>H15*0.35</f>
        <v>6046.2332672000002</v>
      </c>
      <c r="AK15" s="373">
        <f t="shared" si="22"/>
        <v>11112.334840332798</v>
      </c>
      <c r="AL15" s="373">
        <f t="shared" si="7"/>
        <v>138199.61753600001</v>
      </c>
      <c r="AM15" s="377">
        <f>H15*0.35</f>
        <v>6046.2332672000002</v>
      </c>
      <c r="AN15" s="373">
        <f t="shared" si="23"/>
        <v>11112.334840332798</v>
      </c>
      <c r="AO15" s="373">
        <f t="shared" si="24"/>
        <v>155474.569728</v>
      </c>
      <c r="AP15" s="377">
        <f>H15*0.35</f>
        <v>6046.2332672000002</v>
      </c>
      <c r="AQ15" s="373">
        <f t="shared" si="25"/>
        <v>11112.334840332798</v>
      </c>
      <c r="AR15" s="373">
        <f t="shared" si="26"/>
        <v>172749.52192</v>
      </c>
      <c r="AS15" s="377">
        <f>H15*0.35</f>
        <v>6046.2332672000002</v>
      </c>
      <c r="AT15" s="373">
        <f t="shared" si="28"/>
        <v>11112.334840332798</v>
      </c>
      <c r="AU15" s="373">
        <f t="shared" si="29"/>
        <v>190024.474112</v>
      </c>
      <c r="AV15" s="377">
        <f t="shared" si="30"/>
        <v>6046.2332672000002</v>
      </c>
      <c r="AW15" s="373">
        <f t="shared" si="8"/>
        <v>11112.334840332798</v>
      </c>
      <c r="AX15" s="373">
        <f t="shared" si="9"/>
        <v>207299.42630400002</v>
      </c>
      <c r="AY15" s="377">
        <f t="shared" si="34"/>
        <v>6046.2332672000002</v>
      </c>
      <c r="AZ15" s="373">
        <f t="shared" si="32"/>
        <v>11112.334840332798</v>
      </c>
      <c r="BA15" s="371"/>
      <c r="BC15" s="358"/>
    </row>
    <row r="16" spans="1:55" s="233" customFormat="1" ht="45.75" customHeight="1" x14ac:dyDescent="0.45">
      <c r="A16" s="760"/>
      <c r="B16" s="418" t="s">
        <v>214</v>
      </c>
      <c r="C16" s="406">
        <v>600</v>
      </c>
      <c r="D16" s="419">
        <v>4996.0199999999995</v>
      </c>
      <c r="E16" s="419">
        <v>19984.079999999998</v>
      </c>
      <c r="F16" s="419">
        <v>24980.1</v>
      </c>
      <c r="G16" s="537">
        <v>359</v>
      </c>
      <c r="H16" s="538">
        <v>11141.838039999999</v>
      </c>
      <c r="I16" s="544">
        <v>0.35</v>
      </c>
      <c r="J16" s="455">
        <v>8000</v>
      </c>
      <c r="K16" s="452">
        <v>8000.4558616026688</v>
      </c>
      <c r="L16" s="390">
        <v>8000.4558616026688</v>
      </c>
      <c r="M16" s="390">
        <f t="shared" si="10"/>
        <v>0</v>
      </c>
      <c r="N16" s="390"/>
      <c r="O16" s="390">
        <f t="shared" si="0"/>
        <v>8602.6407114007179</v>
      </c>
      <c r="P16" s="372">
        <f t="shared" si="1"/>
        <v>75.905531063999987</v>
      </c>
      <c r="Q16" s="373">
        <f t="shared" si="11"/>
        <v>11141.838039999999</v>
      </c>
      <c r="R16" s="374">
        <f t="shared" si="35"/>
        <v>1728.3676079999998</v>
      </c>
      <c r="S16" s="373">
        <f t="shared" si="12"/>
        <v>9337.5649009359986</v>
      </c>
      <c r="T16" s="373">
        <f t="shared" si="13"/>
        <v>22283.676079999997</v>
      </c>
      <c r="U16" s="374">
        <f>H16*0.2</f>
        <v>2228.367608</v>
      </c>
      <c r="V16" s="373">
        <f t="shared" si="2"/>
        <v>8837.5649009359986</v>
      </c>
      <c r="W16" s="373">
        <f t="shared" si="3"/>
        <v>33425.514119999993</v>
      </c>
      <c r="X16" s="376">
        <f>(W16-25000)*0.27+(25000-T16)*0.2</f>
        <v>2818.1535963999986</v>
      </c>
      <c r="Y16" s="373">
        <f t="shared" si="4"/>
        <v>8247.7789125359996</v>
      </c>
      <c r="Z16" s="373">
        <f t="shared" si="5"/>
        <v>44567.352159999995</v>
      </c>
      <c r="AA16" s="376">
        <f t="shared" si="6"/>
        <v>3008.2962708</v>
      </c>
      <c r="AB16" s="373">
        <f t="shared" si="14"/>
        <v>8057.6362381359995</v>
      </c>
      <c r="AC16" s="373">
        <f t="shared" si="15"/>
        <v>55709.190199999997</v>
      </c>
      <c r="AD16" s="376">
        <f t="shared" si="16"/>
        <v>3008.2962708</v>
      </c>
      <c r="AE16" s="373">
        <f t="shared" si="17"/>
        <v>8057.6362381359995</v>
      </c>
      <c r="AF16" s="373">
        <f t="shared" si="18"/>
        <v>66851.028239999985</v>
      </c>
      <c r="AG16" s="376">
        <f t="shared" ref="AG16:AG26" si="37">H16*0.27</f>
        <v>3008.2962708</v>
      </c>
      <c r="AH16" s="373">
        <f t="shared" si="20"/>
        <v>8057.6362381359995</v>
      </c>
      <c r="AI16" s="373">
        <f t="shared" si="21"/>
        <v>77992.866279999987</v>
      </c>
      <c r="AJ16" s="376">
        <f>H16*0.27</f>
        <v>3008.2962708</v>
      </c>
      <c r="AK16" s="373">
        <f t="shared" si="22"/>
        <v>8057.6362381359995</v>
      </c>
      <c r="AL16" s="373">
        <f t="shared" si="7"/>
        <v>89134.70431999999</v>
      </c>
      <c r="AM16" s="377">
        <f>(AL16-88000)*0.35+(88000-AI16)*0.27</f>
        <v>3099.0726163999998</v>
      </c>
      <c r="AN16" s="373">
        <f t="shared" si="23"/>
        <v>7966.8598925359993</v>
      </c>
      <c r="AO16" s="373">
        <f t="shared" si="24"/>
        <v>100276.54235999999</v>
      </c>
      <c r="AP16" s="377">
        <f>H16*0.35</f>
        <v>3899.6433139999995</v>
      </c>
      <c r="AQ16" s="373">
        <f t="shared" si="25"/>
        <v>7166.2891949360001</v>
      </c>
      <c r="AR16" s="373">
        <f t="shared" si="26"/>
        <v>111418.38039999999</v>
      </c>
      <c r="AS16" s="377">
        <f>H16*0.35</f>
        <v>3899.6433139999995</v>
      </c>
      <c r="AT16" s="373">
        <f t="shared" si="28"/>
        <v>7166.2891949360001</v>
      </c>
      <c r="AU16" s="373">
        <f t="shared" si="29"/>
        <v>122560.21843999998</v>
      </c>
      <c r="AV16" s="377">
        <f t="shared" si="30"/>
        <v>3899.6433139999995</v>
      </c>
      <c r="AW16" s="373">
        <f t="shared" si="8"/>
        <v>7166.2891949360001</v>
      </c>
      <c r="AX16" s="373">
        <f t="shared" si="9"/>
        <v>133702.05647999997</v>
      </c>
      <c r="AY16" s="377">
        <f t="shared" si="34"/>
        <v>3899.6433139999995</v>
      </c>
      <c r="AZ16" s="373">
        <f t="shared" si="32"/>
        <v>7166.2891949360001</v>
      </c>
      <c r="BA16" s="371"/>
      <c r="BC16" s="358"/>
    </row>
    <row r="17" spans="1:55" s="233" customFormat="1" ht="45.75" customHeight="1" x14ac:dyDescent="0.45">
      <c r="A17" s="760"/>
      <c r="B17" s="409" t="s">
        <v>213</v>
      </c>
      <c r="C17" s="410">
        <v>600</v>
      </c>
      <c r="D17" s="419">
        <v>4996.0199999999995</v>
      </c>
      <c r="E17" s="411">
        <v>19984.079999999998</v>
      </c>
      <c r="F17" s="411">
        <v>24980.1</v>
      </c>
      <c r="G17" s="537">
        <v>359</v>
      </c>
      <c r="H17" s="538">
        <v>9283.3185999999987</v>
      </c>
      <c r="I17" s="544">
        <v>0.25</v>
      </c>
      <c r="J17" s="455">
        <v>6804</v>
      </c>
      <c r="K17" s="452">
        <v>6804.684453906666</v>
      </c>
      <c r="L17" s="390">
        <v>6804.684453906666</v>
      </c>
      <c r="M17" s="390">
        <f t="shared" si="10"/>
        <v>0</v>
      </c>
      <c r="N17" s="390"/>
      <c r="O17" s="390">
        <f t="shared" si="0"/>
        <v>7316.8650042007157</v>
      </c>
      <c r="P17" s="372">
        <f t="shared" si="1"/>
        <v>63.639302759999993</v>
      </c>
      <c r="Q17" s="373">
        <f t="shared" si="11"/>
        <v>9283.3185999999987</v>
      </c>
      <c r="R17" s="378">
        <f>Q17*0.15</f>
        <v>1392.4977899999997</v>
      </c>
      <c r="S17" s="373">
        <f t="shared" si="12"/>
        <v>7827.1815072399986</v>
      </c>
      <c r="T17" s="373">
        <f t="shared" si="13"/>
        <v>18566.637199999997</v>
      </c>
      <c r="U17" s="374">
        <f>(T17-10000)*0.2+(10000-Q17)*0.15</f>
        <v>1820.8296499999997</v>
      </c>
      <c r="V17" s="373">
        <f t="shared" si="2"/>
        <v>7398.8496472399984</v>
      </c>
      <c r="W17" s="373">
        <f t="shared" si="3"/>
        <v>27849.955799999996</v>
      </c>
      <c r="X17" s="376">
        <f>(W17-25000)*0.27+(25000-T17)*0.2</f>
        <v>2056.1606259999999</v>
      </c>
      <c r="Y17" s="373">
        <f t="shared" si="4"/>
        <v>7163.5186712399982</v>
      </c>
      <c r="Z17" s="373">
        <f t="shared" si="5"/>
        <v>37133.274399999995</v>
      </c>
      <c r="AA17" s="376">
        <f t="shared" si="6"/>
        <v>2506.4960219999998</v>
      </c>
      <c r="AB17" s="373">
        <f t="shared" si="14"/>
        <v>6713.1832752399987</v>
      </c>
      <c r="AC17" s="373">
        <f t="shared" si="15"/>
        <v>46416.592999999993</v>
      </c>
      <c r="AD17" s="376">
        <f t="shared" si="16"/>
        <v>2506.4960219999998</v>
      </c>
      <c r="AE17" s="373">
        <f t="shared" si="17"/>
        <v>6713.1832752399987</v>
      </c>
      <c r="AF17" s="373">
        <f t="shared" si="18"/>
        <v>55699.911599999992</v>
      </c>
      <c r="AG17" s="376">
        <f t="shared" si="37"/>
        <v>2506.4960219999998</v>
      </c>
      <c r="AH17" s="373">
        <f t="shared" si="20"/>
        <v>6713.1832752399987</v>
      </c>
      <c r="AI17" s="373">
        <f t="shared" si="21"/>
        <v>64983.230199999991</v>
      </c>
      <c r="AJ17" s="376">
        <f>H17*0.27</f>
        <v>2506.4960219999998</v>
      </c>
      <c r="AK17" s="373">
        <f t="shared" si="22"/>
        <v>6713.1832752399987</v>
      </c>
      <c r="AL17" s="373">
        <f t="shared" si="7"/>
        <v>74266.54879999999</v>
      </c>
      <c r="AM17" s="376">
        <f>H17*0.27</f>
        <v>2506.4960219999998</v>
      </c>
      <c r="AN17" s="373">
        <f t="shared" si="23"/>
        <v>6713.1832752399987</v>
      </c>
      <c r="AO17" s="373">
        <f t="shared" si="24"/>
        <v>83549.867399999988</v>
      </c>
      <c r="AP17" s="376">
        <f>H17*0.27</f>
        <v>2506.4960219999998</v>
      </c>
      <c r="AQ17" s="373">
        <f t="shared" si="25"/>
        <v>6713.1832752399987</v>
      </c>
      <c r="AR17" s="373">
        <f t="shared" si="26"/>
        <v>92833.185999999987</v>
      </c>
      <c r="AS17" s="377">
        <f>(AR17-88000)*0.35+(88000-AO17)*0.27</f>
        <v>2893.1509019999985</v>
      </c>
      <c r="AT17" s="373">
        <f t="shared" si="28"/>
        <v>6326.5283952399996</v>
      </c>
      <c r="AU17" s="373">
        <f t="shared" si="29"/>
        <v>102116.50459999999</v>
      </c>
      <c r="AV17" s="377">
        <f t="shared" si="30"/>
        <v>3249.1615099999995</v>
      </c>
      <c r="AW17" s="373">
        <f t="shared" si="8"/>
        <v>5970.5177872399981</v>
      </c>
      <c r="AX17" s="373">
        <f t="shared" si="9"/>
        <v>111399.82319999998</v>
      </c>
      <c r="AY17" s="377">
        <f t="shared" si="34"/>
        <v>3249.1615099999995</v>
      </c>
      <c r="AZ17" s="373">
        <f t="shared" si="32"/>
        <v>5970.5177872399981</v>
      </c>
      <c r="BA17" s="371"/>
      <c r="BC17" s="358"/>
    </row>
    <row r="18" spans="1:55" s="233" customFormat="1" ht="45.75" customHeight="1" x14ac:dyDescent="0.45">
      <c r="A18" s="760"/>
      <c r="B18" s="418" t="s">
        <v>32</v>
      </c>
      <c r="C18" s="406">
        <v>450</v>
      </c>
      <c r="D18" s="419">
        <v>4996.0199999999995</v>
      </c>
      <c r="E18" s="419">
        <v>14988.06</v>
      </c>
      <c r="F18" s="419">
        <v>19984.079999999998</v>
      </c>
      <c r="G18" s="537">
        <v>359</v>
      </c>
      <c r="H18" s="538">
        <v>13418.524354000001</v>
      </c>
      <c r="I18" s="544">
        <v>0.63</v>
      </c>
      <c r="J18" s="455">
        <v>9500</v>
      </c>
      <c r="K18" s="452">
        <v>9465.2758360302669</v>
      </c>
      <c r="L18" s="390">
        <v>9465.2758360302669</v>
      </c>
      <c r="M18" s="390">
        <f t="shared" si="10"/>
        <v>0</v>
      </c>
      <c r="N18" s="390"/>
      <c r="O18" s="390">
        <f t="shared" si="0"/>
        <v>10177.715952720717</v>
      </c>
      <c r="P18" s="372">
        <f t="shared" si="1"/>
        <v>90.931660736400005</v>
      </c>
      <c r="Q18" s="373">
        <f t="shared" si="11"/>
        <v>13418.524354000001</v>
      </c>
      <c r="R18" s="374">
        <f t="shared" si="35"/>
        <v>2183.7048708000002</v>
      </c>
      <c r="S18" s="373">
        <f t="shared" si="12"/>
        <v>11143.887822463601</v>
      </c>
      <c r="T18" s="373">
        <f t="shared" si="13"/>
        <v>26837.048708000002</v>
      </c>
      <c r="U18" s="376">
        <f>(T18-25000)*0.27+(25000-Q18)*0.2</f>
        <v>2812.2982803600003</v>
      </c>
      <c r="V18" s="373">
        <f t="shared" si="2"/>
        <v>10515.2944129036</v>
      </c>
      <c r="W18" s="373">
        <f t="shared" si="3"/>
        <v>40255.573062000003</v>
      </c>
      <c r="X18" s="376">
        <f>H18*0.27</f>
        <v>3623.0015755800005</v>
      </c>
      <c r="Y18" s="373">
        <f t="shared" si="4"/>
        <v>9704.5911176836016</v>
      </c>
      <c r="Z18" s="373">
        <f t="shared" si="5"/>
        <v>53674.097416000004</v>
      </c>
      <c r="AA18" s="376">
        <f t="shared" si="6"/>
        <v>3623.0015755800005</v>
      </c>
      <c r="AB18" s="373">
        <f t="shared" si="14"/>
        <v>9704.5911176836016</v>
      </c>
      <c r="AC18" s="373">
        <f t="shared" si="15"/>
        <v>67092.621769999998</v>
      </c>
      <c r="AD18" s="376">
        <f t="shared" si="16"/>
        <v>3623.0015755800005</v>
      </c>
      <c r="AE18" s="373">
        <f t="shared" si="17"/>
        <v>9704.5911176836016</v>
      </c>
      <c r="AF18" s="373">
        <f t="shared" si="18"/>
        <v>80511.146124000006</v>
      </c>
      <c r="AG18" s="376">
        <f t="shared" si="37"/>
        <v>3623.0015755800005</v>
      </c>
      <c r="AH18" s="373">
        <f t="shared" si="20"/>
        <v>9704.5911176836016</v>
      </c>
      <c r="AI18" s="373">
        <f t="shared" si="21"/>
        <v>93929.670478000015</v>
      </c>
      <c r="AJ18" s="377">
        <f>(AI18-88000)*0.35+(88000-AF18)*0.27</f>
        <v>4097.3752138200034</v>
      </c>
      <c r="AK18" s="373">
        <f t="shared" si="22"/>
        <v>9230.2174794435978</v>
      </c>
      <c r="AL18" s="373">
        <f t="shared" si="7"/>
        <v>107348.19483200001</v>
      </c>
      <c r="AM18" s="377">
        <f>H18*0.35</f>
        <v>4696.4835239000004</v>
      </c>
      <c r="AN18" s="373">
        <f t="shared" si="23"/>
        <v>8631.1091693636008</v>
      </c>
      <c r="AO18" s="373">
        <f t="shared" si="24"/>
        <v>120766.719186</v>
      </c>
      <c r="AP18" s="377">
        <f>H18*0.35</f>
        <v>4696.4835239000004</v>
      </c>
      <c r="AQ18" s="373">
        <f t="shared" si="25"/>
        <v>8631.1091693636008</v>
      </c>
      <c r="AR18" s="373">
        <f t="shared" si="26"/>
        <v>134185.24354</v>
      </c>
      <c r="AS18" s="377">
        <f>H18*0.35</f>
        <v>4696.4835239000004</v>
      </c>
      <c r="AT18" s="373">
        <f t="shared" si="28"/>
        <v>8631.1091693636008</v>
      </c>
      <c r="AU18" s="373">
        <f t="shared" si="29"/>
        <v>147603.76789400002</v>
      </c>
      <c r="AV18" s="377">
        <f t="shared" si="30"/>
        <v>4696.4835239000004</v>
      </c>
      <c r="AW18" s="373">
        <f t="shared" si="8"/>
        <v>8631.1091693636008</v>
      </c>
      <c r="AX18" s="373">
        <f t="shared" si="9"/>
        <v>161022.29224800001</v>
      </c>
      <c r="AY18" s="377">
        <f t="shared" si="34"/>
        <v>4696.4835239000004</v>
      </c>
      <c r="AZ18" s="373">
        <f t="shared" si="32"/>
        <v>8631.1091693636008</v>
      </c>
      <c r="BA18" s="371"/>
      <c r="BC18" s="358"/>
    </row>
    <row r="19" spans="1:55" s="233" customFormat="1" ht="45.75" customHeight="1" x14ac:dyDescent="0.45">
      <c r="A19" s="760"/>
      <c r="B19" s="418" t="s">
        <v>237</v>
      </c>
      <c r="C19" s="406">
        <v>450</v>
      </c>
      <c r="D19" s="419">
        <v>4996.0199999999995</v>
      </c>
      <c r="E19" s="419">
        <v>14988.06</v>
      </c>
      <c r="F19" s="419">
        <v>19984.079999999998</v>
      </c>
      <c r="G19" s="537">
        <v>359</v>
      </c>
      <c r="H19" s="538">
        <v>11606.4679</v>
      </c>
      <c r="I19" s="544">
        <v>0.5</v>
      </c>
      <c r="J19" s="455">
        <v>8300</v>
      </c>
      <c r="K19" s="452">
        <v>8299.3987135266634</v>
      </c>
      <c r="L19" s="390">
        <v>8299.3987135266634</v>
      </c>
      <c r="M19" s="390">
        <f t="shared" si="10"/>
        <v>0</v>
      </c>
      <c r="N19" s="390"/>
      <c r="O19" s="390">
        <f t="shared" si="0"/>
        <v>8924.084638200713</v>
      </c>
      <c r="P19" s="372">
        <f t="shared" si="1"/>
        <v>78.972088139999997</v>
      </c>
      <c r="Q19" s="373">
        <f t="shared" si="11"/>
        <v>11606.4679</v>
      </c>
      <c r="R19" s="374">
        <f t="shared" si="35"/>
        <v>1821.29358</v>
      </c>
      <c r="S19" s="373">
        <f t="shared" si="12"/>
        <v>9706.2022318599993</v>
      </c>
      <c r="T19" s="373">
        <f t="shared" si="13"/>
        <v>23212.935799999999</v>
      </c>
      <c r="U19" s="374">
        <f>H19*0.2</f>
        <v>2321.29358</v>
      </c>
      <c r="V19" s="373">
        <f t="shared" si="2"/>
        <v>9206.2022318599993</v>
      </c>
      <c r="W19" s="373">
        <f t="shared" si="3"/>
        <v>34819.403699999995</v>
      </c>
      <c r="X19" s="376">
        <f>(W19-25000)*0.27+(25000-T19)*0.2</f>
        <v>3008.6518389999992</v>
      </c>
      <c r="Y19" s="373">
        <f t="shared" si="4"/>
        <v>8518.8439728599988</v>
      </c>
      <c r="Z19" s="373">
        <f t="shared" si="5"/>
        <v>46425.871599999999</v>
      </c>
      <c r="AA19" s="376">
        <f t="shared" si="6"/>
        <v>3133.746333</v>
      </c>
      <c r="AB19" s="373">
        <f t="shared" si="14"/>
        <v>8393.7494788599979</v>
      </c>
      <c r="AC19" s="373">
        <f t="shared" si="15"/>
        <v>58032.339500000002</v>
      </c>
      <c r="AD19" s="376">
        <f t="shared" si="16"/>
        <v>3133.746333</v>
      </c>
      <c r="AE19" s="373">
        <f t="shared" si="17"/>
        <v>8393.7494788599979</v>
      </c>
      <c r="AF19" s="373">
        <f t="shared" si="18"/>
        <v>69638.807399999991</v>
      </c>
      <c r="AG19" s="376">
        <f t="shared" si="37"/>
        <v>3133.746333</v>
      </c>
      <c r="AH19" s="373">
        <f t="shared" si="20"/>
        <v>8393.7494788599979</v>
      </c>
      <c r="AI19" s="373">
        <f t="shared" si="21"/>
        <v>81245.275299999994</v>
      </c>
      <c r="AJ19" s="376">
        <f t="shared" ref="AJ19:AJ26" si="38">H19*0.27</f>
        <v>3133.746333</v>
      </c>
      <c r="AK19" s="373">
        <f t="shared" si="22"/>
        <v>8393.7494788599979</v>
      </c>
      <c r="AL19" s="373">
        <f t="shared" si="7"/>
        <v>92851.743199999997</v>
      </c>
      <c r="AM19" s="377">
        <f>(AL19-88000)*0.35+(88000-AI19)*0.27</f>
        <v>3521.8857890000008</v>
      </c>
      <c r="AN19" s="373">
        <f t="shared" si="23"/>
        <v>8005.610022859998</v>
      </c>
      <c r="AO19" s="373">
        <f t="shared" si="24"/>
        <v>104458.2111</v>
      </c>
      <c r="AP19" s="377">
        <f>H19*0.35</f>
        <v>4062.2637649999997</v>
      </c>
      <c r="AQ19" s="373">
        <f t="shared" si="25"/>
        <v>7465.2320468599992</v>
      </c>
      <c r="AR19" s="373">
        <f t="shared" si="26"/>
        <v>116064.679</v>
      </c>
      <c r="AS19" s="377">
        <f>H19*0.35</f>
        <v>4062.2637649999997</v>
      </c>
      <c r="AT19" s="373">
        <f t="shared" si="28"/>
        <v>7465.2320468599992</v>
      </c>
      <c r="AU19" s="373">
        <f t="shared" si="29"/>
        <v>127671.14689999999</v>
      </c>
      <c r="AV19" s="377">
        <f t="shared" si="30"/>
        <v>4062.2637649999997</v>
      </c>
      <c r="AW19" s="373">
        <f t="shared" si="8"/>
        <v>7465.2320468599992</v>
      </c>
      <c r="AX19" s="373">
        <f t="shared" si="9"/>
        <v>139277.61479999998</v>
      </c>
      <c r="AY19" s="377">
        <f t="shared" si="34"/>
        <v>4062.2637649999997</v>
      </c>
      <c r="AZ19" s="373">
        <f t="shared" si="32"/>
        <v>7465.2320468599992</v>
      </c>
      <c r="BA19" s="371"/>
      <c r="BC19" s="358"/>
    </row>
    <row r="20" spans="1:55" s="233" customFormat="1" ht="45.75" customHeight="1" x14ac:dyDescent="0.45">
      <c r="A20" s="760"/>
      <c r="B20" s="409" t="s">
        <v>238</v>
      </c>
      <c r="C20" s="410">
        <v>300</v>
      </c>
      <c r="D20" s="419">
        <v>4996.0199999999995</v>
      </c>
      <c r="E20" s="411">
        <v>9992.0399999999991</v>
      </c>
      <c r="F20" s="411">
        <v>14988.059999999998</v>
      </c>
      <c r="G20" s="537">
        <v>359</v>
      </c>
      <c r="H20" s="538">
        <v>10119.652348</v>
      </c>
      <c r="I20" s="544">
        <v>0.59</v>
      </c>
      <c r="J20" s="455">
        <v>7300</v>
      </c>
      <c r="K20" s="452">
        <v>7342.7815873698664</v>
      </c>
      <c r="L20" s="390">
        <v>7282.9930169850659</v>
      </c>
      <c r="M20" s="390">
        <f t="shared" si="10"/>
        <v>-59.788570384800551</v>
      </c>
      <c r="N20" s="390"/>
      <c r="O20" s="390">
        <f t="shared" si="0"/>
        <v>7895.4640724407163</v>
      </c>
      <c r="P20" s="372">
        <f t="shared" si="1"/>
        <v>69.159105496799995</v>
      </c>
      <c r="Q20" s="373">
        <f t="shared" si="11"/>
        <v>10119.652348</v>
      </c>
      <c r="R20" s="374">
        <f t="shared" si="35"/>
        <v>1523.9304695999999</v>
      </c>
      <c r="S20" s="373">
        <f t="shared" si="12"/>
        <v>8526.5627729032003</v>
      </c>
      <c r="T20" s="373">
        <f t="shared" si="13"/>
        <v>20239.304695999999</v>
      </c>
      <c r="U20" s="374">
        <f>H20*0.2</f>
        <v>2023.9304695999999</v>
      </c>
      <c r="V20" s="373">
        <f t="shared" si="2"/>
        <v>8026.5627729032003</v>
      </c>
      <c r="W20" s="373">
        <f t="shared" si="3"/>
        <v>30358.957043999999</v>
      </c>
      <c r="X20" s="376">
        <f>(W20-25000)*0.27+(25000-T20)*0.2</f>
        <v>2399.0574626799998</v>
      </c>
      <c r="Y20" s="373">
        <f t="shared" si="4"/>
        <v>7651.4357798232004</v>
      </c>
      <c r="Z20" s="373">
        <f t="shared" si="5"/>
        <v>40478.609391999998</v>
      </c>
      <c r="AA20" s="376">
        <f t="shared" si="6"/>
        <v>2732.3061339599999</v>
      </c>
      <c r="AB20" s="373">
        <f t="shared" si="14"/>
        <v>7318.1871085432003</v>
      </c>
      <c r="AC20" s="373">
        <f t="shared" si="15"/>
        <v>50598.261740000002</v>
      </c>
      <c r="AD20" s="376">
        <f t="shared" si="16"/>
        <v>2732.3061339599999</v>
      </c>
      <c r="AE20" s="373">
        <f t="shared" si="17"/>
        <v>7318.1871085432003</v>
      </c>
      <c r="AF20" s="373">
        <f t="shared" si="18"/>
        <v>60717.914087999998</v>
      </c>
      <c r="AG20" s="376">
        <f t="shared" si="37"/>
        <v>2732.3061339599999</v>
      </c>
      <c r="AH20" s="373">
        <f t="shared" si="20"/>
        <v>7318.1871085432003</v>
      </c>
      <c r="AI20" s="373">
        <f t="shared" si="21"/>
        <v>70837.566435999994</v>
      </c>
      <c r="AJ20" s="376">
        <f t="shared" si="38"/>
        <v>2732.3061339599999</v>
      </c>
      <c r="AK20" s="373">
        <f t="shared" si="22"/>
        <v>7318.1871085432003</v>
      </c>
      <c r="AL20" s="373">
        <f t="shared" si="7"/>
        <v>80957.218783999997</v>
      </c>
      <c r="AM20" s="376">
        <f t="shared" ref="AM20:AM27" si="39">H20*0.27</f>
        <v>2732.3061339599999</v>
      </c>
      <c r="AN20" s="373">
        <f t="shared" si="23"/>
        <v>7318.1871085432003</v>
      </c>
      <c r="AO20" s="373">
        <f t="shared" si="24"/>
        <v>91076.871132</v>
      </c>
      <c r="AP20" s="377">
        <f>(AO20-88000)*0.35+(88000-AL20)*0.27</f>
        <v>2978.455824520001</v>
      </c>
      <c r="AQ20" s="373">
        <f t="shared" si="25"/>
        <v>7072.0374179831997</v>
      </c>
      <c r="AR20" s="373">
        <f t="shared" si="26"/>
        <v>101196.52348</v>
      </c>
      <c r="AS20" s="377">
        <f>H20*0.35</f>
        <v>3541.8783217999999</v>
      </c>
      <c r="AT20" s="373">
        <f t="shared" si="28"/>
        <v>6508.6149207032004</v>
      </c>
      <c r="AU20" s="373">
        <f t="shared" si="29"/>
        <v>111316.17582799999</v>
      </c>
      <c r="AV20" s="377">
        <f t="shared" si="30"/>
        <v>3541.8783217999999</v>
      </c>
      <c r="AW20" s="373">
        <f t="shared" si="8"/>
        <v>6508.6149207032004</v>
      </c>
      <c r="AX20" s="373">
        <f t="shared" si="9"/>
        <v>121435.828176</v>
      </c>
      <c r="AY20" s="377">
        <f t="shared" si="34"/>
        <v>3541.8783217999999</v>
      </c>
      <c r="AZ20" s="373">
        <f t="shared" si="32"/>
        <v>6508.6149207032004</v>
      </c>
      <c r="BA20" s="371"/>
      <c r="BC20" s="358"/>
    </row>
    <row r="21" spans="1:55" s="233" customFormat="1" ht="45.75" customHeight="1" x14ac:dyDescent="0.45">
      <c r="A21" s="760"/>
      <c r="B21" s="409" t="s">
        <v>240</v>
      </c>
      <c r="C21" s="410">
        <v>300</v>
      </c>
      <c r="D21" s="419">
        <v>4996.0199999999995</v>
      </c>
      <c r="E21" s="411">
        <v>9992.0399999999991</v>
      </c>
      <c r="F21" s="411">
        <v>14988.059999999998</v>
      </c>
      <c r="G21" s="537">
        <v>359</v>
      </c>
      <c r="H21" s="538">
        <v>9747.9484599999996</v>
      </c>
      <c r="I21" s="544">
        <v>0.55000000000000004</v>
      </c>
      <c r="J21" s="455">
        <v>7100</v>
      </c>
      <c r="K21" s="452">
        <v>7103.627305830666</v>
      </c>
      <c r="L21" s="390">
        <v>7103.627305830666</v>
      </c>
      <c r="M21" s="390">
        <f t="shared" si="10"/>
        <v>0</v>
      </c>
      <c r="N21" s="390"/>
      <c r="O21" s="390">
        <f t="shared" si="0"/>
        <v>7638.3089310007153</v>
      </c>
      <c r="P21" s="372">
        <f t="shared" si="1"/>
        <v>66.705859836000002</v>
      </c>
      <c r="Q21" s="373">
        <f t="shared" si="11"/>
        <v>9747.9484599999996</v>
      </c>
      <c r="R21" s="378">
        <f>Q21*0.15</f>
        <v>1462.1922689999999</v>
      </c>
      <c r="S21" s="373">
        <f t="shared" si="12"/>
        <v>8219.0503311640005</v>
      </c>
      <c r="T21" s="373">
        <f t="shared" si="13"/>
        <v>19495.896919999999</v>
      </c>
      <c r="U21" s="374">
        <f>(T21-10000)*0.2+(10000-Q21)*0.15</f>
        <v>1936.9871150000001</v>
      </c>
      <c r="V21" s="373">
        <f t="shared" si="2"/>
        <v>7744.2554851639998</v>
      </c>
      <c r="W21" s="373">
        <f t="shared" si="3"/>
        <v>29243.845379999999</v>
      </c>
      <c r="X21" s="376">
        <f>(W21-25000)*0.27+(25000-T21)*0.2</f>
        <v>2246.6588686</v>
      </c>
      <c r="Y21" s="373">
        <f t="shared" si="4"/>
        <v>7434.5837315640001</v>
      </c>
      <c r="Z21" s="373">
        <f t="shared" si="5"/>
        <v>38991.793839999998</v>
      </c>
      <c r="AA21" s="376">
        <f t="shared" si="6"/>
        <v>2631.9460841999999</v>
      </c>
      <c r="AB21" s="373">
        <f t="shared" si="14"/>
        <v>7049.2965159639998</v>
      </c>
      <c r="AC21" s="373">
        <f t="shared" si="15"/>
        <v>48739.742299999998</v>
      </c>
      <c r="AD21" s="376">
        <f t="shared" si="16"/>
        <v>2631.9460841999999</v>
      </c>
      <c r="AE21" s="373">
        <f t="shared" si="17"/>
        <v>7049.2965159639998</v>
      </c>
      <c r="AF21" s="373">
        <f t="shared" si="18"/>
        <v>58487.690759999998</v>
      </c>
      <c r="AG21" s="376">
        <f t="shared" si="37"/>
        <v>2631.9460841999999</v>
      </c>
      <c r="AH21" s="373">
        <f t="shared" si="20"/>
        <v>7049.2965159639998</v>
      </c>
      <c r="AI21" s="373">
        <f t="shared" si="21"/>
        <v>68235.639219999997</v>
      </c>
      <c r="AJ21" s="376">
        <f t="shared" si="38"/>
        <v>2631.9460841999999</v>
      </c>
      <c r="AK21" s="373">
        <f t="shared" si="22"/>
        <v>7049.2965159639998</v>
      </c>
      <c r="AL21" s="373">
        <f t="shared" si="7"/>
        <v>77983.587679999997</v>
      </c>
      <c r="AM21" s="376">
        <f t="shared" si="39"/>
        <v>2631.9460841999999</v>
      </c>
      <c r="AN21" s="373">
        <f t="shared" si="23"/>
        <v>7049.2965159639998</v>
      </c>
      <c r="AO21" s="373">
        <f t="shared" si="24"/>
        <v>87731.536139999997</v>
      </c>
      <c r="AP21" s="376">
        <f t="shared" ref="AP21:AP27" si="40">H21*0.27</f>
        <v>2631.9460841999999</v>
      </c>
      <c r="AQ21" s="373">
        <f t="shared" si="25"/>
        <v>7049.2965159639998</v>
      </c>
      <c r="AR21" s="373">
        <f t="shared" si="26"/>
        <v>97479.484599999996</v>
      </c>
      <c r="AS21" s="377">
        <f>(AR21-88000)*0.35+(88000-AO21)*0.27</f>
        <v>3390.3048521999995</v>
      </c>
      <c r="AT21" s="373">
        <f t="shared" si="28"/>
        <v>6290.9377479640007</v>
      </c>
      <c r="AU21" s="373">
        <f t="shared" si="29"/>
        <v>107227.43306</v>
      </c>
      <c r="AV21" s="377">
        <f t="shared" si="30"/>
        <v>3411.7819609999997</v>
      </c>
      <c r="AW21" s="373">
        <f t="shared" si="8"/>
        <v>6269.460639164</v>
      </c>
      <c r="AX21" s="373">
        <f t="shared" si="9"/>
        <v>116975.38152</v>
      </c>
      <c r="AY21" s="377">
        <f t="shared" si="34"/>
        <v>3411.7819609999997</v>
      </c>
      <c r="AZ21" s="373">
        <f t="shared" si="32"/>
        <v>6269.460639164</v>
      </c>
      <c r="BA21" s="371"/>
      <c r="BC21" s="358"/>
    </row>
    <row r="22" spans="1:55" s="233" customFormat="1" ht="45.75" customHeight="1" x14ac:dyDescent="0.45">
      <c r="A22" s="760"/>
      <c r="B22" s="409" t="s">
        <v>239</v>
      </c>
      <c r="C22" s="410">
        <v>300</v>
      </c>
      <c r="D22" s="419">
        <v>4996.0199999999995</v>
      </c>
      <c r="E22" s="411">
        <v>9992.0399999999991</v>
      </c>
      <c r="F22" s="411">
        <v>14988.059999999998</v>
      </c>
      <c r="G22" s="537">
        <v>359</v>
      </c>
      <c r="H22" s="538">
        <v>9469.1705440000005</v>
      </c>
      <c r="I22" s="544">
        <v>0.52</v>
      </c>
      <c r="J22" s="455">
        <v>6900</v>
      </c>
      <c r="K22" s="452">
        <v>6924.2615946762644</v>
      </c>
      <c r="L22" s="390">
        <v>6864.4730242914638</v>
      </c>
      <c r="M22" s="390">
        <f t="shared" si="10"/>
        <v>-59.788570384800551</v>
      </c>
      <c r="N22" s="390"/>
      <c r="O22" s="390">
        <f t="shared" si="0"/>
        <v>7445.4425749207139</v>
      </c>
      <c r="P22" s="372">
        <f t="shared" si="1"/>
        <v>64.865925590399996</v>
      </c>
      <c r="Q22" s="373">
        <f t="shared" si="11"/>
        <v>9469.1705440000005</v>
      </c>
      <c r="R22" s="378">
        <f>Q22*0.15</f>
        <v>1420.3755816</v>
      </c>
      <c r="S22" s="373">
        <f t="shared" si="12"/>
        <v>7983.9290368095999</v>
      </c>
      <c r="T22" s="373">
        <f t="shared" si="13"/>
        <v>18938.341088000001</v>
      </c>
      <c r="U22" s="374">
        <f>(T22-10000)*0.2+(10000-Q22)*0.15</f>
        <v>1867.2926360000004</v>
      </c>
      <c r="V22" s="373">
        <f t="shared" si="2"/>
        <v>7537.0119824096</v>
      </c>
      <c r="W22" s="373">
        <f t="shared" si="3"/>
        <v>28407.511632000002</v>
      </c>
      <c r="X22" s="376">
        <f>(W22-25000)*0.27+(25000-T22)*0.2</f>
        <v>2132.3599230400005</v>
      </c>
      <c r="Y22" s="373">
        <f t="shared" si="4"/>
        <v>7271.9446953695997</v>
      </c>
      <c r="Z22" s="373">
        <f t="shared" si="5"/>
        <v>37876.682176000002</v>
      </c>
      <c r="AA22" s="376">
        <f t="shared" si="6"/>
        <v>2556.6760468800003</v>
      </c>
      <c r="AB22" s="373">
        <f t="shared" si="14"/>
        <v>6847.6285715295999</v>
      </c>
      <c r="AC22" s="373">
        <f t="shared" si="15"/>
        <v>47345.852720000003</v>
      </c>
      <c r="AD22" s="376">
        <f t="shared" si="16"/>
        <v>2556.6760468800003</v>
      </c>
      <c r="AE22" s="373">
        <f t="shared" si="17"/>
        <v>6847.6285715295999</v>
      </c>
      <c r="AF22" s="373">
        <f t="shared" si="18"/>
        <v>56815.023264000003</v>
      </c>
      <c r="AG22" s="376">
        <f t="shared" si="37"/>
        <v>2556.6760468800003</v>
      </c>
      <c r="AH22" s="373">
        <f t="shared" si="20"/>
        <v>6847.6285715295999</v>
      </c>
      <c r="AI22" s="373">
        <f t="shared" si="21"/>
        <v>66284.193808000011</v>
      </c>
      <c r="AJ22" s="376">
        <f t="shared" si="38"/>
        <v>2556.6760468800003</v>
      </c>
      <c r="AK22" s="373">
        <f t="shared" si="22"/>
        <v>6847.6285715295999</v>
      </c>
      <c r="AL22" s="373">
        <f t="shared" si="7"/>
        <v>75753.364352000004</v>
      </c>
      <c r="AM22" s="376">
        <f t="shared" si="39"/>
        <v>2556.6760468800003</v>
      </c>
      <c r="AN22" s="373">
        <f t="shared" si="23"/>
        <v>6847.6285715295999</v>
      </c>
      <c r="AO22" s="373">
        <f t="shared" si="24"/>
        <v>85222.534895999997</v>
      </c>
      <c r="AP22" s="376">
        <f t="shared" si="40"/>
        <v>2556.6760468800003</v>
      </c>
      <c r="AQ22" s="373">
        <f t="shared" si="25"/>
        <v>6847.6285715295999</v>
      </c>
      <c r="AR22" s="373">
        <f t="shared" si="26"/>
        <v>94691.705440000005</v>
      </c>
      <c r="AS22" s="377">
        <f>(AR22-88000)*0.35+(88000-AO22)*0.27</f>
        <v>3092.0124820800024</v>
      </c>
      <c r="AT22" s="373">
        <f t="shared" si="28"/>
        <v>6312.2921363295973</v>
      </c>
      <c r="AU22" s="373">
        <f t="shared" si="29"/>
        <v>104160.87598400001</v>
      </c>
      <c r="AV22" s="377">
        <f t="shared" si="30"/>
        <v>3314.2096904</v>
      </c>
      <c r="AW22" s="373">
        <f t="shared" si="8"/>
        <v>6090.0949280096002</v>
      </c>
      <c r="AX22" s="373">
        <f t="shared" si="9"/>
        <v>113630.04652800001</v>
      </c>
      <c r="AY22" s="377">
        <f t="shared" si="34"/>
        <v>3314.2096904</v>
      </c>
      <c r="AZ22" s="373">
        <f t="shared" si="32"/>
        <v>6090.0949280096002</v>
      </c>
      <c r="BA22" s="371"/>
      <c r="BC22" s="358"/>
    </row>
    <row r="23" spans="1:55" s="233" customFormat="1" ht="45.75" customHeight="1" x14ac:dyDescent="0.45">
      <c r="A23" s="760"/>
      <c r="B23" s="424" t="s">
        <v>216</v>
      </c>
      <c r="C23" s="406">
        <v>300</v>
      </c>
      <c r="D23" s="419">
        <v>4996.0199999999995</v>
      </c>
      <c r="E23" s="419">
        <v>9992.0399999999991</v>
      </c>
      <c r="F23" s="419">
        <v>14988.059999999998</v>
      </c>
      <c r="G23" s="537">
        <v>359</v>
      </c>
      <c r="H23" s="538">
        <v>6495.5394399999996</v>
      </c>
      <c r="I23" s="545">
        <v>0.2</v>
      </c>
      <c r="J23" s="455">
        <v>4900</v>
      </c>
      <c r="K23" s="452">
        <v>4944.0038308959993</v>
      </c>
      <c r="L23" s="390">
        <v>4809.5585346064008</v>
      </c>
      <c r="M23" s="390">
        <f t="shared" si="10"/>
        <v>-134.44529628959845</v>
      </c>
      <c r="N23" s="390"/>
      <c r="O23" s="390">
        <f t="shared" si="0"/>
        <v>5316.1331515010743</v>
      </c>
      <c r="P23" s="372">
        <f t="shared" si="1"/>
        <v>45.239960304</v>
      </c>
      <c r="Q23" s="373">
        <f t="shared" si="11"/>
        <v>6495.5394399999996</v>
      </c>
      <c r="R23" s="378">
        <f>Q23*0.15</f>
        <v>974.33091599999989</v>
      </c>
      <c r="S23" s="373">
        <f t="shared" si="12"/>
        <v>5475.9685636959994</v>
      </c>
      <c r="T23" s="373">
        <f t="shared" si="13"/>
        <v>12991.078879999999</v>
      </c>
      <c r="U23" s="374">
        <f>(T23-10000)*0.2+(10000-Q23)*0.15</f>
        <v>1123.8848599999999</v>
      </c>
      <c r="V23" s="373">
        <f t="shared" si="2"/>
        <v>5326.4146196959991</v>
      </c>
      <c r="W23" s="373">
        <f t="shared" si="3"/>
        <v>19486.618319999998</v>
      </c>
      <c r="X23" s="374">
        <f>H23*0.2</f>
        <v>1299.107888</v>
      </c>
      <c r="Y23" s="373">
        <f t="shared" si="4"/>
        <v>5151.1915916959988</v>
      </c>
      <c r="Z23" s="373">
        <f t="shared" si="5"/>
        <v>25982.157759999998</v>
      </c>
      <c r="AA23" s="376">
        <f>(Z23-25000)*0.27+(25000-W23)*0.2</f>
        <v>1367.8589311999999</v>
      </c>
      <c r="AB23" s="373">
        <f t="shared" si="14"/>
        <v>5082.4405484959989</v>
      </c>
      <c r="AC23" s="373">
        <f t="shared" si="15"/>
        <v>32477.697199999999</v>
      </c>
      <c r="AD23" s="376">
        <f t="shared" si="16"/>
        <v>1753.7956488</v>
      </c>
      <c r="AE23" s="373">
        <f t="shared" si="17"/>
        <v>4696.5038308959993</v>
      </c>
      <c r="AF23" s="373">
        <f t="shared" si="18"/>
        <v>38973.236639999996</v>
      </c>
      <c r="AG23" s="376">
        <f t="shared" si="37"/>
        <v>1753.7956488</v>
      </c>
      <c r="AH23" s="373">
        <f t="shared" si="20"/>
        <v>4696.5038308959993</v>
      </c>
      <c r="AI23" s="373">
        <f t="shared" si="21"/>
        <v>45468.776079999996</v>
      </c>
      <c r="AJ23" s="376">
        <f t="shared" si="38"/>
        <v>1753.7956488</v>
      </c>
      <c r="AK23" s="373">
        <f t="shared" si="22"/>
        <v>4696.5038308959993</v>
      </c>
      <c r="AL23" s="373">
        <f t="shared" si="7"/>
        <v>51964.315519999996</v>
      </c>
      <c r="AM23" s="376">
        <f t="shared" si="39"/>
        <v>1753.7956488</v>
      </c>
      <c r="AN23" s="373">
        <f t="shared" si="23"/>
        <v>4696.5038308959993</v>
      </c>
      <c r="AO23" s="373">
        <f t="shared" si="24"/>
        <v>58459.854959999997</v>
      </c>
      <c r="AP23" s="376">
        <f t="shared" si="40"/>
        <v>1753.7956488</v>
      </c>
      <c r="AQ23" s="373">
        <f t="shared" si="25"/>
        <v>4696.5038308959993</v>
      </c>
      <c r="AR23" s="373">
        <f t="shared" si="26"/>
        <v>64955.394399999997</v>
      </c>
      <c r="AS23" s="376">
        <f>H23*0.27</f>
        <v>1753.7956488</v>
      </c>
      <c r="AT23" s="373">
        <f t="shared" si="28"/>
        <v>4696.5038308959993</v>
      </c>
      <c r="AU23" s="373">
        <f t="shared" si="29"/>
        <v>71450.933839999998</v>
      </c>
      <c r="AV23" s="376">
        <f>H23*0.27</f>
        <v>1753.7956488</v>
      </c>
      <c r="AW23" s="373">
        <f t="shared" si="8"/>
        <v>4696.5038308959993</v>
      </c>
      <c r="AX23" s="373">
        <f t="shared" si="9"/>
        <v>77946.473279999991</v>
      </c>
      <c r="AY23" s="376">
        <f t="shared" ref="AY23:AY27" si="41">H23*0.27</f>
        <v>1753.7956488</v>
      </c>
      <c r="AZ23" s="373">
        <f t="shared" si="32"/>
        <v>4696.5038308959993</v>
      </c>
      <c r="BA23" s="371"/>
      <c r="BC23" s="358"/>
    </row>
    <row r="24" spans="1:55" s="233" customFormat="1" ht="45.75" customHeight="1" x14ac:dyDescent="0.45">
      <c r="A24" s="761" t="s">
        <v>172</v>
      </c>
      <c r="B24" s="425" t="s">
        <v>282</v>
      </c>
      <c r="C24" s="426">
        <v>125</v>
      </c>
      <c r="D24" s="411">
        <v>3330.68</v>
      </c>
      <c r="E24" s="411">
        <v>4163.3499999999995</v>
      </c>
      <c r="F24" s="411">
        <v>7494.0299999999988</v>
      </c>
      <c r="G24" s="537">
        <v>359</v>
      </c>
      <c r="H24" s="538">
        <v>6572.5614150000001</v>
      </c>
      <c r="I24" s="544">
        <v>0.93</v>
      </c>
      <c r="J24" s="455">
        <v>5000</v>
      </c>
      <c r="K24" s="452">
        <v>4999.7215276110001</v>
      </c>
      <c r="L24" s="390">
        <v>4943.7026541570003</v>
      </c>
      <c r="M24" s="390">
        <f t="shared" si="10"/>
        <v>-56.018873453999731</v>
      </c>
      <c r="N24" s="390"/>
      <c r="O24" s="390">
        <f t="shared" si="0"/>
        <v>5376.0446533451614</v>
      </c>
      <c r="P24" s="372">
        <f t="shared" si="1"/>
        <v>45.748305338999998</v>
      </c>
      <c r="Q24" s="373">
        <f t="shared" si="11"/>
        <v>6572.5614150000001</v>
      </c>
      <c r="R24" s="378">
        <f t="shared" ref="R24:R28" si="42">Q24*0.15</f>
        <v>985.88421225000002</v>
      </c>
      <c r="S24" s="373">
        <f t="shared" si="12"/>
        <v>5540.9288974110004</v>
      </c>
      <c r="T24" s="373">
        <f t="shared" si="13"/>
        <v>13145.12283</v>
      </c>
      <c r="U24" s="374">
        <f>(T24-10000)*0.2+(10000-Q24)*0.15</f>
        <v>1143.14035375</v>
      </c>
      <c r="V24" s="373">
        <f t="shared" si="2"/>
        <v>5383.6727559110004</v>
      </c>
      <c r="W24" s="373">
        <f t="shared" si="3"/>
        <v>19717.684245</v>
      </c>
      <c r="X24" s="374">
        <f>H24*0.2</f>
        <v>1314.512283</v>
      </c>
      <c r="Y24" s="373">
        <f t="shared" si="4"/>
        <v>5212.3008266610004</v>
      </c>
      <c r="Z24" s="373">
        <f t="shared" si="5"/>
        <v>26290.24566</v>
      </c>
      <c r="AA24" s="376">
        <f>(Z24-25000)*0.27+(25000-W24)*0.2</f>
        <v>1404.8294792000002</v>
      </c>
      <c r="AB24" s="373">
        <f t="shared" si="14"/>
        <v>5121.9836304609998</v>
      </c>
      <c r="AC24" s="373">
        <f t="shared" si="15"/>
        <v>32862.807075000004</v>
      </c>
      <c r="AD24" s="376">
        <f t="shared" si="16"/>
        <v>1774.5915820500002</v>
      </c>
      <c r="AE24" s="373">
        <f t="shared" si="17"/>
        <v>4752.2215276110001</v>
      </c>
      <c r="AF24" s="373">
        <f t="shared" si="18"/>
        <v>39435.368490000001</v>
      </c>
      <c r="AG24" s="376">
        <f t="shared" si="37"/>
        <v>1774.5915820500002</v>
      </c>
      <c r="AH24" s="373">
        <f t="shared" si="20"/>
        <v>4752.2215276110001</v>
      </c>
      <c r="AI24" s="373">
        <f t="shared" si="21"/>
        <v>46007.929904999997</v>
      </c>
      <c r="AJ24" s="376">
        <f t="shared" si="38"/>
        <v>1774.5915820500002</v>
      </c>
      <c r="AK24" s="373">
        <f t="shared" si="22"/>
        <v>4752.2215276110001</v>
      </c>
      <c r="AL24" s="373">
        <f t="shared" si="7"/>
        <v>52580.491320000001</v>
      </c>
      <c r="AM24" s="376">
        <f t="shared" si="39"/>
        <v>1774.5915820500002</v>
      </c>
      <c r="AN24" s="373">
        <f t="shared" si="23"/>
        <v>4752.2215276110001</v>
      </c>
      <c r="AO24" s="373">
        <f t="shared" si="24"/>
        <v>59153.052735000005</v>
      </c>
      <c r="AP24" s="376">
        <f t="shared" si="40"/>
        <v>1774.5915820500002</v>
      </c>
      <c r="AQ24" s="373">
        <f t="shared" si="25"/>
        <v>4752.2215276110001</v>
      </c>
      <c r="AR24" s="373">
        <f t="shared" si="26"/>
        <v>65725.614150000009</v>
      </c>
      <c r="AS24" s="376">
        <f>H24*0.27</f>
        <v>1774.5915820500002</v>
      </c>
      <c r="AT24" s="373">
        <f t="shared" si="28"/>
        <v>4752.2215276110001</v>
      </c>
      <c r="AU24" s="373">
        <f t="shared" si="29"/>
        <v>72298.175564999998</v>
      </c>
      <c r="AV24" s="376">
        <f>H24*0.27</f>
        <v>1774.5915820500002</v>
      </c>
      <c r="AW24" s="373">
        <f t="shared" si="8"/>
        <v>4752.2215276110001</v>
      </c>
      <c r="AX24" s="373">
        <f t="shared" si="9"/>
        <v>78870.736980000001</v>
      </c>
      <c r="AY24" s="376">
        <f t="shared" si="41"/>
        <v>1774.5915820500002</v>
      </c>
      <c r="AZ24" s="373">
        <f t="shared" si="32"/>
        <v>4752.2215276110001</v>
      </c>
      <c r="BA24" s="371"/>
      <c r="BC24" s="358"/>
    </row>
    <row r="25" spans="1:55" s="233" customFormat="1" ht="45.75" customHeight="1" x14ac:dyDescent="0.45">
      <c r="A25" s="761"/>
      <c r="B25" s="425" t="s">
        <v>281</v>
      </c>
      <c r="C25" s="426">
        <v>125</v>
      </c>
      <c r="D25" s="411">
        <v>3330.68</v>
      </c>
      <c r="E25" s="411">
        <v>4163.3499999999995</v>
      </c>
      <c r="F25" s="411">
        <v>7494.0299999999988</v>
      </c>
      <c r="G25" s="537">
        <v>359</v>
      </c>
      <c r="H25" s="538">
        <v>5875.6166249999997</v>
      </c>
      <c r="I25" s="544">
        <v>0.75</v>
      </c>
      <c r="J25" s="455">
        <v>4500</v>
      </c>
      <c r="K25" s="452">
        <v>4495.5516665250007</v>
      </c>
      <c r="L25" s="390">
        <v>4497.2282059364989</v>
      </c>
      <c r="M25" s="390">
        <f t="shared" si="10"/>
        <v>1.6765394114981973</v>
      </c>
      <c r="N25" s="390"/>
      <c r="O25" s="390">
        <f t="shared" si="0"/>
        <v>4833.9265231451618</v>
      </c>
      <c r="P25" s="372">
        <f t="shared" si="1"/>
        <v>41.148469724999998</v>
      </c>
      <c r="Q25" s="373">
        <f t="shared" si="11"/>
        <v>5875.6166249999997</v>
      </c>
      <c r="R25" s="378">
        <f t="shared" si="42"/>
        <v>881.3424937499999</v>
      </c>
      <c r="S25" s="373">
        <f t="shared" si="12"/>
        <v>4953.1256615250004</v>
      </c>
      <c r="T25" s="373">
        <f t="shared" si="13"/>
        <v>11751.233249999999</v>
      </c>
      <c r="U25" s="374">
        <f>(T25-10000)*0.2+(10000-Q25)*0.15</f>
        <v>968.90415624999991</v>
      </c>
      <c r="V25" s="373">
        <f t="shared" si="2"/>
        <v>4865.5639990250002</v>
      </c>
      <c r="W25" s="373">
        <f t="shared" si="3"/>
        <v>17626.849875</v>
      </c>
      <c r="X25" s="374">
        <f>H25*0.2</f>
        <v>1175.123325</v>
      </c>
      <c r="Y25" s="373">
        <f t="shared" si="4"/>
        <v>4659.3448302750003</v>
      </c>
      <c r="Z25" s="373">
        <f t="shared" si="5"/>
        <v>23502.466499999999</v>
      </c>
      <c r="AA25" s="374">
        <f>H25*0.2</f>
        <v>1175.123325</v>
      </c>
      <c r="AB25" s="373">
        <f t="shared" si="14"/>
        <v>4659.3448302750003</v>
      </c>
      <c r="AC25" s="373">
        <f t="shared" si="15"/>
        <v>29378.083124999997</v>
      </c>
      <c r="AD25" s="376">
        <f>(AC25-25000)*0.27+(25000-Z25)*0.2</f>
        <v>1481.5891437499997</v>
      </c>
      <c r="AE25" s="373">
        <f t="shared" si="17"/>
        <v>4352.8790115250004</v>
      </c>
      <c r="AF25" s="373">
        <f t="shared" si="18"/>
        <v>35253.69975</v>
      </c>
      <c r="AG25" s="376">
        <f t="shared" si="37"/>
        <v>1586.4164887500001</v>
      </c>
      <c r="AH25" s="373">
        <f t="shared" si="20"/>
        <v>4248.0516665249997</v>
      </c>
      <c r="AI25" s="373">
        <f t="shared" si="21"/>
        <v>41129.316374999995</v>
      </c>
      <c r="AJ25" s="376">
        <f t="shared" si="38"/>
        <v>1586.4164887500001</v>
      </c>
      <c r="AK25" s="373">
        <f t="shared" si="22"/>
        <v>4248.0516665249997</v>
      </c>
      <c r="AL25" s="373">
        <f t="shared" si="7"/>
        <v>47004.932999999997</v>
      </c>
      <c r="AM25" s="376">
        <f t="shared" si="39"/>
        <v>1586.4164887500001</v>
      </c>
      <c r="AN25" s="373">
        <f t="shared" si="23"/>
        <v>4248.0516665249997</v>
      </c>
      <c r="AO25" s="373">
        <f t="shared" si="24"/>
        <v>52880.549625</v>
      </c>
      <c r="AP25" s="376">
        <f t="shared" si="40"/>
        <v>1586.4164887500001</v>
      </c>
      <c r="AQ25" s="373">
        <f t="shared" si="25"/>
        <v>4248.0516665249997</v>
      </c>
      <c r="AR25" s="373">
        <f t="shared" si="26"/>
        <v>58756.166249999995</v>
      </c>
      <c r="AS25" s="376">
        <f>H25*0.27</f>
        <v>1586.4164887500001</v>
      </c>
      <c r="AT25" s="373">
        <f t="shared" si="28"/>
        <v>4248.0516665249997</v>
      </c>
      <c r="AU25" s="373">
        <f t="shared" si="29"/>
        <v>64631.782874999997</v>
      </c>
      <c r="AV25" s="376">
        <f>H25*0.27</f>
        <v>1586.4164887500001</v>
      </c>
      <c r="AW25" s="373">
        <f t="shared" si="8"/>
        <v>4248.0516665249997</v>
      </c>
      <c r="AX25" s="373">
        <f t="shared" si="9"/>
        <v>70507.3995</v>
      </c>
      <c r="AY25" s="376">
        <f t="shared" si="41"/>
        <v>1586.4164887500001</v>
      </c>
      <c r="AZ25" s="373">
        <f t="shared" si="32"/>
        <v>4248.0516665249997</v>
      </c>
      <c r="BA25" s="371"/>
      <c r="BC25" s="358"/>
    </row>
    <row r="26" spans="1:55" s="233" customFormat="1" ht="45.75" customHeight="1" x14ac:dyDescent="0.45">
      <c r="A26" s="761"/>
      <c r="B26" s="424" t="s">
        <v>241</v>
      </c>
      <c r="C26" s="428">
        <v>125</v>
      </c>
      <c r="D26" s="419">
        <v>3330.68</v>
      </c>
      <c r="E26" s="419">
        <v>4163.3499999999995</v>
      </c>
      <c r="F26" s="419">
        <v>7494.0299999999988</v>
      </c>
      <c r="G26" s="537">
        <v>278</v>
      </c>
      <c r="H26" s="538">
        <v>5220.9526800000003</v>
      </c>
      <c r="I26" s="544">
        <v>0.56000000000000005</v>
      </c>
      <c r="J26" s="455">
        <v>4000</v>
      </c>
      <c r="K26" s="452">
        <v>4022.5023687119997</v>
      </c>
      <c r="L26" s="390">
        <v>3910.4646218039993</v>
      </c>
      <c r="M26" s="390">
        <f t="shared" si="10"/>
        <v>-112.03774690800037</v>
      </c>
      <c r="N26" s="390"/>
      <c r="O26" s="390">
        <f t="shared" si="0"/>
        <v>4325.2713642064509</v>
      </c>
      <c r="P26" s="372">
        <f t="shared" si="1"/>
        <v>36.293087688</v>
      </c>
      <c r="Q26" s="373">
        <f t="shared" si="11"/>
        <v>5220.9526800000003</v>
      </c>
      <c r="R26" s="378">
        <f t="shared" si="42"/>
        <v>783.14290200000005</v>
      </c>
      <c r="S26" s="373">
        <f t="shared" si="12"/>
        <v>4401.5166903120007</v>
      </c>
      <c r="T26" s="373">
        <f t="shared" si="13"/>
        <v>10441.905360000001</v>
      </c>
      <c r="U26" s="374">
        <f t="shared" ref="U26" si="43">(T26-10000)*0.2+(10000-Q26)*0.15</f>
        <v>805.23817000000008</v>
      </c>
      <c r="V26" s="373">
        <f t="shared" si="2"/>
        <v>4379.4214223119998</v>
      </c>
      <c r="W26" s="373">
        <f t="shared" si="3"/>
        <v>15662.858040000001</v>
      </c>
      <c r="X26" s="374">
        <f>H26*0.2</f>
        <v>1044.1905360000001</v>
      </c>
      <c r="Y26" s="373">
        <f t="shared" si="4"/>
        <v>4140.4690563120002</v>
      </c>
      <c r="Z26" s="373">
        <f t="shared" si="5"/>
        <v>20883.810720000001</v>
      </c>
      <c r="AA26" s="374">
        <f>H26*0.2</f>
        <v>1044.1905360000001</v>
      </c>
      <c r="AB26" s="373">
        <f t="shared" si="14"/>
        <v>4140.4690563120002</v>
      </c>
      <c r="AC26" s="373">
        <f t="shared" si="15"/>
        <v>26104.763400000003</v>
      </c>
      <c r="AD26" s="376">
        <f>(AC26-25000)*0.27+(25000-Z26)*0.2</f>
        <v>1121.5239740000006</v>
      </c>
      <c r="AE26" s="373">
        <f t="shared" si="17"/>
        <v>4063.1356183119997</v>
      </c>
      <c r="AF26" s="373">
        <f t="shared" si="18"/>
        <v>31325.716080000002</v>
      </c>
      <c r="AG26" s="376">
        <f t="shared" si="37"/>
        <v>1409.6572236000002</v>
      </c>
      <c r="AH26" s="373">
        <f t="shared" si="20"/>
        <v>3775.0023687120001</v>
      </c>
      <c r="AI26" s="373">
        <f t="shared" si="21"/>
        <v>36546.66876</v>
      </c>
      <c r="AJ26" s="376">
        <f t="shared" si="38"/>
        <v>1409.6572236000002</v>
      </c>
      <c r="AK26" s="373">
        <f t="shared" si="22"/>
        <v>3775.0023687120001</v>
      </c>
      <c r="AL26" s="373">
        <f t="shared" si="7"/>
        <v>41767.621440000003</v>
      </c>
      <c r="AM26" s="376">
        <f t="shared" si="39"/>
        <v>1409.6572236000002</v>
      </c>
      <c r="AN26" s="373">
        <f t="shared" si="23"/>
        <v>3775.0023687120001</v>
      </c>
      <c r="AO26" s="373">
        <f t="shared" si="24"/>
        <v>46988.574120000005</v>
      </c>
      <c r="AP26" s="376">
        <f t="shared" si="40"/>
        <v>1409.6572236000002</v>
      </c>
      <c r="AQ26" s="373">
        <f t="shared" si="25"/>
        <v>3775.0023687120001</v>
      </c>
      <c r="AR26" s="373">
        <f t="shared" si="26"/>
        <v>52209.526800000007</v>
      </c>
      <c r="AS26" s="376">
        <f>H26*0.27</f>
        <v>1409.6572236000002</v>
      </c>
      <c r="AT26" s="373">
        <f t="shared" si="28"/>
        <v>3775.0023687120001</v>
      </c>
      <c r="AU26" s="373">
        <f t="shared" si="29"/>
        <v>57430.479480000002</v>
      </c>
      <c r="AV26" s="376">
        <f>H26*0.27</f>
        <v>1409.6572236000002</v>
      </c>
      <c r="AW26" s="373">
        <f t="shared" si="8"/>
        <v>3775.0023687120001</v>
      </c>
      <c r="AX26" s="373">
        <f t="shared" si="9"/>
        <v>62651.432160000004</v>
      </c>
      <c r="AY26" s="376">
        <f t="shared" si="41"/>
        <v>1409.6572236000002</v>
      </c>
      <c r="AZ26" s="373">
        <f t="shared" si="32"/>
        <v>3775.0023687120001</v>
      </c>
      <c r="BA26" s="371"/>
      <c r="BC26" s="358"/>
    </row>
    <row r="27" spans="1:55" s="233" customFormat="1" ht="45.75" customHeight="1" x14ac:dyDescent="0.45">
      <c r="A27" s="761"/>
      <c r="B27" s="424" t="s">
        <v>198</v>
      </c>
      <c r="C27" s="426">
        <v>125</v>
      </c>
      <c r="D27" s="411">
        <v>3330.68</v>
      </c>
      <c r="E27" s="411">
        <v>4163.3499999999995</v>
      </c>
      <c r="F27" s="411">
        <v>7494.0299999999988</v>
      </c>
      <c r="G27" s="537">
        <v>278</v>
      </c>
      <c r="H27" s="538">
        <v>3827.0630999999994</v>
      </c>
      <c r="I27" s="544">
        <v>0.2</v>
      </c>
      <c r="J27" s="455">
        <v>3000</v>
      </c>
      <c r="K27" s="452">
        <v>3014.16264654</v>
      </c>
      <c r="L27" s="390">
        <v>2958.1437730859993</v>
      </c>
      <c r="M27" s="390">
        <f t="shared" si="10"/>
        <v>-56.018873454000641</v>
      </c>
      <c r="N27" s="390"/>
      <c r="O27" s="390">
        <f t="shared" si="0"/>
        <v>3241.0351038064514</v>
      </c>
      <c r="P27" s="372">
        <f t="shared" si="1"/>
        <v>27.093416459999997</v>
      </c>
      <c r="Q27" s="373">
        <f t="shared" si="11"/>
        <v>3827.0630999999994</v>
      </c>
      <c r="R27" s="378">
        <f t="shared" si="42"/>
        <v>574.05946499999993</v>
      </c>
      <c r="S27" s="373">
        <f t="shared" si="12"/>
        <v>3225.9102185399997</v>
      </c>
      <c r="T27" s="373">
        <f t="shared" si="13"/>
        <v>7654.1261999999988</v>
      </c>
      <c r="U27" s="378">
        <f>H27*0.15</f>
        <v>574.05946499999993</v>
      </c>
      <c r="V27" s="373">
        <f t="shared" si="2"/>
        <v>3225.9102185399997</v>
      </c>
      <c r="W27" s="373">
        <f t="shared" si="3"/>
        <v>11481.189299999998</v>
      </c>
      <c r="X27" s="374">
        <f>(W27-10000)*0.2+(10000-T27)*0.15</f>
        <v>648.11892999999986</v>
      </c>
      <c r="Y27" s="373">
        <f t="shared" si="4"/>
        <v>3151.8507535399995</v>
      </c>
      <c r="Z27" s="373">
        <f t="shared" si="5"/>
        <v>15308.252399999998</v>
      </c>
      <c r="AA27" s="374">
        <f>H27*0.2</f>
        <v>765.41261999999995</v>
      </c>
      <c r="AB27" s="373">
        <f t="shared" si="14"/>
        <v>3034.5570635399995</v>
      </c>
      <c r="AC27" s="373">
        <f t="shared" si="15"/>
        <v>19135.315499999997</v>
      </c>
      <c r="AD27" s="374">
        <f>H27*0.2</f>
        <v>765.41261999999995</v>
      </c>
      <c r="AE27" s="373">
        <f t="shared" si="17"/>
        <v>3034.5570635399995</v>
      </c>
      <c r="AF27" s="373">
        <f t="shared" si="18"/>
        <v>22962.378599999996</v>
      </c>
      <c r="AG27" s="374">
        <f>H27*0.2</f>
        <v>765.41261999999995</v>
      </c>
      <c r="AH27" s="373">
        <f t="shared" si="20"/>
        <v>3034.5570635399995</v>
      </c>
      <c r="AI27" s="373">
        <f t="shared" si="21"/>
        <v>26789.441699999996</v>
      </c>
      <c r="AJ27" s="376">
        <f>(AI27-25000)*0.27+(25000-AF27)*0.2</f>
        <v>890.67353899999966</v>
      </c>
      <c r="AK27" s="373">
        <f t="shared" si="22"/>
        <v>2909.2961445399997</v>
      </c>
      <c r="AL27" s="373">
        <f t="shared" si="7"/>
        <v>30616.504799999995</v>
      </c>
      <c r="AM27" s="376">
        <f t="shared" si="39"/>
        <v>1033.3070369999998</v>
      </c>
      <c r="AN27" s="373">
        <f t="shared" si="23"/>
        <v>2766.6626465399995</v>
      </c>
      <c r="AO27" s="373">
        <f t="shared" si="24"/>
        <v>34443.567899999995</v>
      </c>
      <c r="AP27" s="376">
        <f t="shared" si="40"/>
        <v>1033.3070369999998</v>
      </c>
      <c r="AQ27" s="373">
        <f t="shared" si="25"/>
        <v>2766.6626465399995</v>
      </c>
      <c r="AR27" s="373">
        <f t="shared" si="26"/>
        <v>38270.630999999994</v>
      </c>
      <c r="AS27" s="376">
        <f>H27*0.27</f>
        <v>1033.3070369999998</v>
      </c>
      <c r="AT27" s="373">
        <f t="shared" si="28"/>
        <v>2766.6626465399995</v>
      </c>
      <c r="AU27" s="373">
        <f t="shared" si="29"/>
        <v>42097.694099999993</v>
      </c>
      <c r="AV27" s="376">
        <f>H27*0.27</f>
        <v>1033.3070369999998</v>
      </c>
      <c r="AW27" s="373">
        <f t="shared" si="8"/>
        <v>2766.6626465399995</v>
      </c>
      <c r="AX27" s="373">
        <f t="shared" si="9"/>
        <v>45924.757199999993</v>
      </c>
      <c r="AY27" s="376">
        <f t="shared" si="41"/>
        <v>1033.3070369999998</v>
      </c>
      <c r="AZ27" s="373">
        <f t="shared" si="32"/>
        <v>2766.6626465399995</v>
      </c>
      <c r="BA27" s="371"/>
      <c r="BC27" s="358"/>
    </row>
    <row r="28" spans="1:55" s="233" customFormat="1" ht="45.75" customHeight="1" x14ac:dyDescent="0.45">
      <c r="A28" s="759" t="s">
        <v>171</v>
      </c>
      <c r="B28" s="759"/>
      <c r="C28" s="428">
        <v>50</v>
      </c>
      <c r="D28" s="419">
        <v>1665.34</v>
      </c>
      <c r="E28" s="419">
        <v>1665.34</v>
      </c>
      <c r="F28" s="419">
        <v>3330.68</v>
      </c>
      <c r="G28" s="537">
        <v>278</v>
      </c>
      <c r="H28" s="538">
        <v>2223.6737480000002</v>
      </c>
      <c r="I28" s="544">
        <v>0.54</v>
      </c>
      <c r="J28" s="455">
        <v>1795</v>
      </c>
      <c r="K28" s="452">
        <v>1854.2707893032</v>
      </c>
      <c r="L28" s="390">
        <v>1854.2707893032</v>
      </c>
      <c r="M28" s="390">
        <f t="shared" si="10"/>
        <v>0</v>
      </c>
      <c r="N28" s="390"/>
      <c r="O28" s="390">
        <f t="shared" si="0"/>
        <v>1993.8395583905376</v>
      </c>
      <c r="P28" s="372">
        <f t="shared" si="1"/>
        <v>16.511046736800001</v>
      </c>
      <c r="Q28" s="373">
        <f t="shared" si="11"/>
        <v>2223.6737480000002</v>
      </c>
      <c r="R28" s="378">
        <f t="shared" si="42"/>
        <v>333.55106219999999</v>
      </c>
      <c r="S28" s="373">
        <f t="shared" si="12"/>
        <v>1873.6116390632003</v>
      </c>
      <c r="T28" s="373">
        <f t="shared" si="13"/>
        <v>4447.3474960000003</v>
      </c>
      <c r="U28" s="378">
        <f>H28*0.15</f>
        <v>333.55106219999999</v>
      </c>
      <c r="V28" s="373">
        <f t="shared" si="2"/>
        <v>1873.6116390632003</v>
      </c>
      <c r="W28" s="373">
        <f t="shared" si="3"/>
        <v>6671.0212440000005</v>
      </c>
      <c r="X28" s="378">
        <f>H28*0.15</f>
        <v>333.55106219999999</v>
      </c>
      <c r="Y28" s="373">
        <f t="shared" si="4"/>
        <v>1873.6116390632003</v>
      </c>
      <c r="Z28" s="373">
        <f t="shared" si="5"/>
        <v>8894.6949920000006</v>
      </c>
      <c r="AA28" s="378">
        <f>H28*0.15</f>
        <v>333.55106219999999</v>
      </c>
      <c r="AB28" s="373">
        <f t="shared" si="14"/>
        <v>1873.6116390632003</v>
      </c>
      <c r="AC28" s="373">
        <f t="shared" si="15"/>
        <v>11118.368740000002</v>
      </c>
      <c r="AD28" s="374">
        <f>(AC28-10000)*0.2+(10000-Z28)*0.15</f>
        <v>389.46949920000026</v>
      </c>
      <c r="AE28" s="373">
        <f t="shared" si="17"/>
        <v>1817.6932020632</v>
      </c>
      <c r="AF28" s="373">
        <f t="shared" si="18"/>
        <v>13342.042488000001</v>
      </c>
      <c r="AG28" s="374">
        <f>H28*0.2</f>
        <v>444.73474960000004</v>
      </c>
      <c r="AH28" s="373">
        <f t="shared" si="20"/>
        <v>1762.4279516632002</v>
      </c>
      <c r="AI28" s="373">
        <f t="shared" si="21"/>
        <v>15565.716236</v>
      </c>
      <c r="AJ28" s="374">
        <f>H28*0.2</f>
        <v>444.73474960000004</v>
      </c>
      <c r="AK28" s="373">
        <f t="shared" si="22"/>
        <v>1762.4279516632002</v>
      </c>
      <c r="AL28" s="373">
        <f t="shared" si="7"/>
        <v>17789.389984000001</v>
      </c>
      <c r="AM28" s="374">
        <f>H28*0.2</f>
        <v>444.73474960000004</v>
      </c>
      <c r="AN28" s="373">
        <f t="shared" si="23"/>
        <v>1762.4279516632002</v>
      </c>
      <c r="AO28" s="373">
        <f t="shared" si="24"/>
        <v>20013.063732000002</v>
      </c>
      <c r="AP28" s="374">
        <f>H28*0.2</f>
        <v>444.73474960000004</v>
      </c>
      <c r="AQ28" s="373">
        <f t="shared" si="25"/>
        <v>1762.4279516632002</v>
      </c>
      <c r="AR28" s="373">
        <f t="shared" si="26"/>
        <v>22236.737480000003</v>
      </c>
      <c r="AS28" s="374">
        <f>H28*0.2</f>
        <v>444.73474960000004</v>
      </c>
      <c r="AT28" s="373">
        <f t="shared" si="28"/>
        <v>1762.4279516632002</v>
      </c>
      <c r="AU28" s="373">
        <f t="shared" si="29"/>
        <v>24460.411228000001</v>
      </c>
      <c r="AV28" s="374">
        <f>H28*0.2</f>
        <v>444.73474960000004</v>
      </c>
      <c r="AW28" s="373">
        <f t="shared" si="8"/>
        <v>1762.4279516632002</v>
      </c>
      <c r="AX28" s="373">
        <f t="shared" si="9"/>
        <v>26684.084976000002</v>
      </c>
      <c r="AY28" s="376">
        <f>(AX28-25000)*0.27+(25000-AU28)*0.2</f>
        <v>562.62069792000034</v>
      </c>
      <c r="AZ28" s="373">
        <f t="shared" si="32"/>
        <v>1644.5420033431999</v>
      </c>
      <c r="BA28" s="371"/>
      <c r="BC28" s="358"/>
    </row>
    <row r="29" spans="1:55" s="345" customFormat="1" ht="24" customHeight="1" x14ac:dyDescent="0.45">
      <c r="A29" s="541"/>
      <c r="B29" s="542"/>
      <c r="C29" s="543"/>
      <c r="D29" s="543"/>
      <c r="E29" s="543"/>
      <c r="F29" s="543"/>
      <c r="G29" s="539"/>
      <c r="H29" s="357">
        <v>0.94</v>
      </c>
      <c r="I29" s="546"/>
      <c r="J29" s="539"/>
      <c r="K29" s="540"/>
      <c r="L29" s="390"/>
      <c r="M29" s="390"/>
      <c r="N29" s="390"/>
      <c r="O29" s="390"/>
      <c r="P29" s="372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5"/>
      <c r="BC29" s="358"/>
    </row>
    <row r="30" spans="1:55" ht="45.75" customHeight="1" x14ac:dyDescent="0.45">
      <c r="A30" s="762" t="s">
        <v>28</v>
      </c>
      <c r="B30" s="409" t="s">
        <v>215</v>
      </c>
      <c r="C30" s="410">
        <v>600</v>
      </c>
      <c r="D30" s="411">
        <v>4996.0199999999995</v>
      </c>
      <c r="E30" s="411">
        <v>19984.079999999998</v>
      </c>
      <c r="F30" s="411">
        <v>24980.1</v>
      </c>
      <c r="G30" s="537">
        <v>359</v>
      </c>
      <c r="H30" s="538">
        <v>17035.143231999999</v>
      </c>
      <c r="I30" s="544">
        <v>0.66</v>
      </c>
      <c r="J30" s="455">
        <v>11900</v>
      </c>
      <c r="K30" s="452">
        <v>11792.208422135467</v>
      </c>
      <c r="L30" s="390">
        <v>11550.482589181869</v>
      </c>
      <c r="M30" s="390">
        <f t="shared" ref="M30:M54" si="44">L30-K30</f>
        <v>-241.725832953598</v>
      </c>
      <c r="N30" s="390"/>
      <c r="O30" s="390">
        <f>K30/0.94</f>
        <v>12544.90257673986</v>
      </c>
      <c r="P30" s="372">
        <f t="shared" ref="P30:P54" si="45">(H30+G30)*0.0066</f>
        <v>114.8013453312</v>
      </c>
      <c r="Q30" s="373">
        <f>H30*Q$4</f>
        <v>17035.143231999999</v>
      </c>
      <c r="R30" s="374">
        <f t="shared" ref="R30:R42" si="46">(Q30-10000)*0.2+10000*0.15</f>
        <v>2907.0286464000001</v>
      </c>
      <c r="S30" s="373">
        <f>H30-P30-R30</f>
        <v>14013.313240268797</v>
      </c>
      <c r="T30" s="373">
        <f>H30*2</f>
        <v>34070.286463999997</v>
      </c>
      <c r="U30" s="376">
        <f>(T30-25000)*0.27+(25000-Q30)*0.2</f>
        <v>4041.9486988799999</v>
      </c>
      <c r="V30" s="373">
        <f>H30-P30-U30</f>
        <v>12878.393187788797</v>
      </c>
      <c r="W30" s="373">
        <f>H30*3</f>
        <v>51105.429695999992</v>
      </c>
      <c r="X30" s="376">
        <f t="shared" ref="X30:X33" si="47">Q30*0.27</f>
        <v>4599.48867264</v>
      </c>
      <c r="Y30" s="373">
        <f>H30-P30-X30</f>
        <v>12320.853214028797</v>
      </c>
      <c r="Z30" s="373">
        <f>H30*4</f>
        <v>68140.572927999994</v>
      </c>
      <c r="AA30" s="376">
        <f t="shared" ref="AA30:AA37" si="48">H30*0.27</f>
        <v>4599.48867264</v>
      </c>
      <c r="AB30" s="373">
        <f>H30-P30-AA30</f>
        <v>12320.853214028797</v>
      </c>
      <c r="AC30" s="373">
        <f>H30*5</f>
        <v>85175.716159999996</v>
      </c>
      <c r="AD30" s="376">
        <f t="shared" ref="AD30:AD50" si="49">H30*0.27</f>
        <v>4599.48867264</v>
      </c>
      <c r="AE30" s="373">
        <f>H30-P30-AD30</f>
        <v>12320.853214028797</v>
      </c>
      <c r="AF30" s="373">
        <f>H30*6</f>
        <v>102210.85939199998</v>
      </c>
      <c r="AG30" s="377">
        <f>(AF30-88000)*0.35+(88000-AC30)*0.27</f>
        <v>5736.3574239999953</v>
      </c>
      <c r="AH30" s="373">
        <f>H30-P30-AG30</f>
        <v>11183.984462668803</v>
      </c>
      <c r="AI30" s="373">
        <f>H30*7</f>
        <v>119246.00262399999</v>
      </c>
      <c r="AJ30" s="377">
        <f>H30*0.35</f>
        <v>5962.3001311999988</v>
      </c>
      <c r="AK30" s="373">
        <f>H30-P30-AJ30</f>
        <v>10958.041755468799</v>
      </c>
      <c r="AL30" s="373">
        <f>H30*8</f>
        <v>136281.14585599999</v>
      </c>
      <c r="AM30" s="377">
        <f>H30*0.35</f>
        <v>5962.3001311999988</v>
      </c>
      <c r="AN30" s="373">
        <f>H30-P30-AM30</f>
        <v>10958.041755468799</v>
      </c>
      <c r="AO30" s="373">
        <f>H30*9</f>
        <v>153316.28908799999</v>
      </c>
      <c r="AP30" s="377">
        <f>H30*0.35</f>
        <v>5962.3001311999988</v>
      </c>
      <c r="AQ30" s="373">
        <f>H30-P30-AP30</f>
        <v>10958.041755468799</v>
      </c>
      <c r="AR30" s="373">
        <f>H30*10</f>
        <v>170351.43231999999</v>
      </c>
      <c r="AS30" s="377">
        <f>H30*0.35</f>
        <v>5962.3001311999988</v>
      </c>
      <c r="AT30" s="373">
        <f>H30-P30-AS30</f>
        <v>10958.041755468799</v>
      </c>
      <c r="AU30" s="373">
        <f>H30*11</f>
        <v>187386.57555199999</v>
      </c>
      <c r="AV30" s="377">
        <f t="shared" ref="AV30:AV37" si="50">H30*0.35</f>
        <v>5962.3001311999988</v>
      </c>
      <c r="AW30" s="373">
        <f>H30-P30-AV30</f>
        <v>10958.041755468799</v>
      </c>
      <c r="AX30" s="373">
        <f>H30*12</f>
        <v>204421.71878399997</v>
      </c>
      <c r="AY30" s="377">
        <f t="shared" ref="AY30:AY37" si="51">H30*0.35</f>
        <v>5962.3001311999988</v>
      </c>
      <c r="AZ30" s="373">
        <f t="shared" ref="AZ30:AZ54" si="52">H30-P30-AY30</f>
        <v>10958.041755468799</v>
      </c>
      <c r="BA30" s="292"/>
      <c r="BC30" s="358"/>
    </row>
    <row r="31" spans="1:55" ht="45.75" customHeight="1" x14ac:dyDescent="0.45">
      <c r="A31" s="762"/>
      <c r="B31" s="409" t="s">
        <v>214</v>
      </c>
      <c r="C31" s="410">
        <v>600</v>
      </c>
      <c r="D31" s="411">
        <v>4996.0199999999995</v>
      </c>
      <c r="E31" s="411">
        <v>19984.079999999998</v>
      </c>
      <c r="F31" s="411">
        <v>24980.1</v>
      </c>
      <c r="G31" s="537">
        <v>359</v>
      </c>
      <c r="H31" s="538">
        <v>11023.931968000001</v>
      </c>
      <c r="I31" s="544">
        <v>0.34</v>
      </c>
      <c r="J31" s="455">
        <v>8000</v>
      </c>
      <c r="K31" s="452">
        <v>7924.5950948778691</v>
      </c>
      <c r="L31" s="390">
        <v>7803.7321784010674</v>
      </c>
      <c r="M31" s="390">
        <f t="shared" si="44"/>
        <v>-120.86291647680173</v>
      </c>
      <c r="N31" s="390"/>
      <c r="O31" s="390">
        <f t="shared" ref="O31:O54" si="53">K31/0.94</f>
        <v>8430.4203136998603</v>
      </c>
      <c r="P31" s="372">
        <f t="shared" si="45"/>
        <v>75.127350988800004</v>
      </c>
      <c r="Q31" s="373">
        <f t="shared" ref="Q31:Q54" si="54">H31*Q$4</f>
        <v>11023.931968000001</v>
      </c>
      <c r="R31" s="374">
        <f t="shared" si="46"/>
        <v>1704.7863936000001</v>
      </c>
      <c r="S31" s="373">
        <f t="shared" ref="S31:S54" si="55">H31-P31-R31</f>
        <v>9244.0182234112017</v>
      </c>
      <c r="T31" s="373">
        <f t="shared" ref="T31:T54" si="56">H31*2</f>
        <v>22047.863936000002</v>
      </c>
      <c r="U31" s="374">
        <f>H31*0.2</f>
        <v>2204.7863936000003</v>
      </c>
      <c r="V31" s="373">
        <f t="shared" ref="V31:V54" si="57">H31-P31-U31</f>
        <v>8744.0182234111999</v>
      </c>
      <c r="W31" s="373">
        <f t="shared" ref="W31:W54" si="58">H31*3</f>
        <v>33071.795903999999</v>
      </c>
      <c r="X31" s="376">
        <f>(W31-25000)*0.27+(25000-T31)*0.2</f>
        <v>2769.8121068799996</v>
      </c>
      <c r="Y31" s="373">
        <f t="shared" ref="Y31:Y54" si="59">H31-P31-X31</f>
        <v>8178.9925101312019</v>
      </c>
      <c r="Z31" s="373">
        <f t="shared" ref="Z31:Z54" si="60">H31*4</f>
        <v>44095.727872000003</v>
      </c>
      <c r="AA31" s="376">
        <f t="shared" si="48"/>
        <v>2976.4616313600004</v>
      </c>
      <c r="AB31" s="373">
        <f t="shared" ref="AB31:AB54" si="61">H31-P31-AA31</f>
        <v>7972.3429856512012</v>
      </c>
      <c r="AC31" s="373">
        <f t="shared" ref="AC31:AC54" si="62">H31*5</f>
        <v>55119.659840000008</v>
      </c>
      <c r="AD31" s="376">
        <f t="shared" si="49"/>
        <v>2976.4616313600004</v>
      </c>
      <c r="AE31" s="373">
        <f t="shared" ref="AE31:AE54" si="63">H31-P31-AD31</f>
        <v>7972.3429856512012</v>
      </c>
      <c r="AF31" s="373">
        <f t="shared" ref="AF31:AF54" si="64">H31*6</f>
        <v>66143.591807999997</v>
      </c>
      <c r="AG31" s="376">
        <f t="shared" ref="AG31:AG38" si="65">H31*0.27</f>
        <v>2976.4616313600004</v>
      </c>
      <c r="AH31" s="373">
        <f t="shared" ref="AH31:AH54" si="66">H31-P31-AG31</f>
        <v>7972.3429856512012</v>
      </c>
      <c r="AI31" s="373">
        <f t="shared" ref="AI31:AI54" si="67">H31*7</f>
        <v>77167.523776000002</v>
      </c>
      <c r="AJ31" s="376">
        <f>H31*0.27</f>
        <v>2976.4616313600004</v>
      </c>
      <c r="AK31" s="373">
        <f t="shared" ref="AK31:AK54" si="68">H31-P31-AJ31</f>
        <v>7972.3429856512012</v>
      </c>
      <c r="AL31" s="373">
        <f t="shared" ref="AL31:AL54" si="69">H31*8</f>
        <v>88191.455744000006</v>
      </c>
      <c r="AM31" s="376">
        <f>H31*0.27</f>
        <v>2976.4616313600004</v>
      </c>
      <c r="AN31" s="373">
        <f t="shared" ref="AN31:AN54" si="70">H31-P31-AM31</f>
        <v>7972.3429856512012</v>
      </c>
      <c r="AO31" s="373">
        <f t="shared" ref="AO31:AO54" si="71">H31*9</f>
        <v>99215.387712000011</v>
      </c>
      <c r="AP31" s="377">
        <f>(AO31-88000)*0.35+(88000-AL31)*0.27</f>
        <v>3873.6926483200018</v>
      </c>
      <c r="AQ31" s="373">
        <f t="shared" ref="AQ31:AQ54" si="72">H31-P31-AP31</f>
        <v>7075.1119686911989</v>
      </c>
      <c r="AR31" s="373">
        <f t="shared" ref="AR31:AR54" si="73">H31*10</f>
        <v>110239.31968000002</v>
      </c>
      <c r="AS31" s="377">
        <f>H31*0.35</f>
        <v>3858.3761887999999</v>
      </c>
      <c r="AT31" s="373">
        <f t="shared" ref="AT31:AT54" si="74">H31-P31-AS31</f>
        <v>7090.4284282112012</v>
      </c>
      <c r="AU31" s="373">
        <f t="shared" ref="AU31:AU54" si="75">H31*11</f>
        <v>121263.251648</v>
      </c>
      <c r="AV31" s="377">
        <f t="shared" si="50"/>
        <v>3858.3761887999999</v>
      </c>
      <c r="AW31" s="373">
        <f t="shared" ref="AW31:AW54" si="76">H31-P31-AV31</f>
        <v>7090.4284282112012</v>
      </c>
      <c r="AX31" s="373">
        <f t="shared" ref="AX31:AX54" si="77">H31*12</f>
        <v>132287.18361599999</v>
      </c>
      <c r="AY31" s="377">
        <f t="shared" si="51"/>
        <v>3858.3761887999999</v>
      </c>
      <c r="AZ31" s="373">
        <f t="shared" si="52"/>
        <v>7090.4284282112012</v>
      </c>
      <c r="BA31" s="292"/>
      <c r="BC31" s="358"/>
    </row>
    <row r="32" spans="1:55" ht="45.75" customHeight="1" x14ac:dyDescent="0.45">
      <c r="A32" s="762"/>
      <c r="B32" s="418" t="s">
        <v>220</v>
      </c>
      <c r="C32" s="406">
        <v>600</v>
      </c>
      <c r="D32" s="419">
        <v>4996.0199999999995</v>
      </c>
      <c r="E32" s="419">
        <v>19984.079999999998</v>
      </c>
      <c r="F32" s="419">
        <v>16231.55401011872</v>
      </c>
      <c r="G32" s="537">
        <v>359</v>
      </c>
      <c r="H32" s="538">
        <v>9333.2788</v>
      </c>
      <c r="I32" s="544">
        <v>0.25</v>
      </c>
      <c r="J32" s="455">
        <v>6844</v>
      </c>
      <c r="K32" s="452">
        <v>6836.8288465866681</v>
      </c>
      <c r="L32" s="390">
        <v>6836.8288465866681</v>
      </c>
      <c r="M32" s="390">
        <f t="shared" si="44"/>
        <v>0</v>
      </c>
      <c r="N32" s="390"/>
      <c r="O32" s="390">
        <f t="shared" si="53"/>
        <v>7273.22217721986</v>
      </c>
      <c r="P32" s="372">
        <f t="shared" si="45"/>
        <v>63.969040079999999</v>
      </c>
      <c r="Q32" s="373">
        <f t="shared" si="54"/>
        <v>9333.2788</v>
      </c>
      <c r="R32" s="378">
        <f t="shared" ref="R32" si="78">Q32*0.15</f>
        <v>1399.99182</v>
      </c>
      <c r="S32" s="373">
        <f t="shared" si="55"/>
        <v>7869.3179399200008</v>
      </c>
      <c r="T32" s="373">
        <f t="shared" si="56"/>
        <v>18666.5576</v>
      </c>
      <c r="U32" s="374">
        <f t="shared" ref="U32" si="79">(T32-10000)*0.2+(10000-Q32)*0.15</f>
        <v>1833.3197000000002</v>
      </c>
      <c r="V32" s="373">
        <f t="shared" si="57"/>
        <v>7435.9900599200009</v>
      </c>
      <c r="W32" s="373">
        <f t="shared" si="58"/>
        <v>27999.8364</v>
      </c>
      <c r="X32" s="376">
        <f>(W32-25000)*0.27+(25000-T32)*0.2</f>
        <v>2076.6443079999999</v>
      </c>
      <c r="Y32" s="373">
        <f t="shared" si="59"/>
        <v>7192.665451920001</v>
      </c>
      <c r="Z32" s="373">
        <f t="shared" si="60"/>
        <v>37333.1152</v>
      </c>
      <c r="AA32" s="376">
        <f t="shared" si="48"/>
        <v>2519.9852760000003</v>
      </c>
      <c r="AB32" s="373">
        <f t="shared" si="61"/>
        <v>6749.3244839200006</v>
      </c>
      <c r="AC32" s="373">
        <f t="shared" si="62"/>
        <v>46666.394</v>
      </c>
      <c r="AD32" s="376">
        <f t="shared" si="49"/>
        <v>2519.9852760000003</v>
      </c>
      <c r="AE32" s="373">
        <f t="shared" si="63"/>
        <v>6749.3244839200006</v>
      </c>
      <c r="AF32" s="373">
        <f t="shared" si="64"/>
        <v>55999.6728</v>
      </c>
      <c r="AG32" s="376">
        <f t="shared" si="65"/>
        <v>2519.9852760000003</v>
      </c>
      <c r="AH32" s="373">
        <f t="shared" si="66"/>
        <v>6749.3244839200006</v>
      </c>
      <c r="AI32" s="373">
        <f t="shared" si="67"/>
        <v>65332.9516</v>
      </c>
      <c r="AJ32" s="376">
        <f>H32*0.27</f>
        <v>2519.9852760000003</v>
      </c>
      <c r="AK32" s="373">
        <f t="shared" si="68"/>
        <v>6749.3244839200006</v>
      </c>
      <c r="AL32" s="373">
        <f t="shared" si="69"/>
        <v>74666.2304</v>
      </c>
      <c r="AM32" s="376">
        <f>H32*0.27</f>
        <v>2519.9852760000003</v>
      </c>
      <c r="AN32" s="373">
        <f t="shared" si="70"/>
        <v>6749.3244839200006</v>
      </c>
      <c r="AO32" s="373">
        <f t="shared" si="71"/>
        <v>83999.5092</v>
      </c>
      <c r="AP32" s="376">
        <f>H32*0.27</f>
        <v>2519.9852760000003</v>
      </c>
      <c r="AQ32" s="373">
        <f t="shared" si="72"/>
        <v>6749.3244839200006</v>
      </c>
      <c r="AR32" s="373">
        <f t="shared" si="73"/>
        <v>93332.788</v>
      </c>
      <c r="AS32" s="377">
        <f>(AR32-88000)*0.35+(88000-AO32)*0.27</f>
        <v>2946.6083159999998</v>
      </c>
      <c r="AT32" s="373">
        <f t="shared" si="74"/>
        <v>6322.7014439200011</v>
      </c>
      <c r="AU32" s="373">
        <f t="shared" si="75"/>
        <v>102666.0668</v>
      </c>
      <c r="AV32" s="377">
        <f t="shared" si="50"/>
        <v>3266.6475799999998</v>
      </c>
      <c r="AW32" s="373">
        <f t="shared" si="76"/>
        <v>6002.6621799200011</v>
      </c>
      <c r="AX32" s="373">
        <f t="shared" si="77"/>
        <v>111999.3456</v>
      </c>
      <c r="AY32" s="377">
        <f t="shared" si="51"/>
        <v>3266.6475799999998</v>
      </c>
      <c r="AZ32" s="373">
        <f t="shared" si="52"/>
        <v>6002.6621799200011</v>
      </c>
      <c r="BA32" s="292"/>
      <c r="BC32" s="358"/>
    </row>
    <row r="33" spans="1:55" ht="45.75" customHeight="1" x14ac:dyDescent="0.45">
      <c r="A33" s="762"/>
      <c r="B33" s="409" t="s">
        <v>32</v>
      </c>
      <c r="C33" s="410">
        <v>450</v>
      </c>
      <c r="D33" s="411">
        <v>4996.0199999999995</v>
      </c>
      <c r="E33" s="411">
        <v>14988.06</v>
      </c>
      <c r="F33" s="411">
        <v>19984.079999999998</v>
      </c>
      <c r="G33" s="537">
        <v>359</v>
      </c>
      <c r="H33" s="538">
        <v>13512.949131999998</v>
      </c>
      <c r="I33" s="544">
        <v>0.63</v>
      </c>
      <c r="J33" s="455">
        <v>9500</v>
      </c>
      <c r="K33" s="452">
        <v>9526.028738195464</v>
      </c>
      <c r="L33" s="390">
        <v>9254.0871761226681</v>
      </c>
      <c r="M33" s="390">
        <f t="shared" si="44"/>
        <v>-271.94156207279593</v>
      </c>
      <c r="N33" s="390"/>
      <c r="O33" s="390">
        <f t="shared" si="53"/>
        <v>10134.073125739857</v>
      </c>
      <c r="P33" s="372">
        <f t="shared" si="45"/>
        <v>91.554864271199989</v>
      </c>
      <c r="Q33" s="373">
        <f t="shared" si="54"/>
        <v>13512.949131999998</v>
      </c>
      <c r="R33" s="374">
        <f t="shared" si="46"/>
        <v>2202.5898263999998</v>
      </c>
      <c r="S33" s="373">
        <f t="shared" si="55"/>
        <v>11218.804441328797</v>
      </c>
      <c r="T33" s="373">
        <f t="shared" si="56"/>
        <v>27025.898263999996</v>
      </c>
      <c r="U33" s="376">
        <f>(T33-25000)*0.27+(25000-Q33)*0.2</f>
        <v>2844.4027048799999</v>
      </c>
      <c r="V33" s="373">
        <f t="shared" si="57"/>
        <v>10576.991562848798</v>
      </c>
      <c r="W33" s="373">
        <f t="shared" si="58"/>
        <v>40538.847395999997</v>
      </c>
      <c r="X33" s="376">
        <f t="shared" si="47"/>
        <v>3648.4962656399998</v>
      </c>
      <c r="Y33" s="373">
        <f t="shared" si="59"/>
        <v>9772.8980020887975</v>
      </c>
      <c r="Z33" s="373">
        <f t="shared" si="60"/>
        <v>54051.796527999992</v>
      </c>
      <c r="AA33" s="376">
        <f t="shared" si="48"/>
        <v>3648.4962656399998</v>
      </c>
      <c r="AB33" s="373">
        <f t="shared" si="61"/>
        <v>9772.8980020887975</v>
      </c>
      <c r="AC33" s="373">
        <f t="shared" si="62"/>
        <v>67564.745659999986</v>
      </c>
      <c r="AD33" s="376">
        <f t="shared" si="49"/>
        <v>3648.4962656399998</v>
      </c>
      <c r="AE33" s="373">
        <f t="shared" si="63"/>
        <v>9772.8980020887975</v>
      </c>
      <c r="AF33" s="373">
        <f t="shared" si="64"/>
        <v>81077.694791999995</v>
      </c>
      <c r="AG33" s="376">
        <f t="shared" si="65"/>
        <v>3648.4962656399998</v>
      </c>
      <c r="AH33" s="373">
        <f t="shared" si="66"/>
        <v>9772.8980020887975</v>
      </c>
      <c r="AI33" s="373">
        <f t="shared" si="67"/>
        <v>94590.643923999989</v>
      </c>
      <c r="AJ33" s="377">
        <f>(AI33-88000)*0.35+(88000-AF33)*0.27</f>
        <v>4175.7477795599971</v>
      </c>
      <c r="AK33" s="373">
        <f t="shared" si="68"/>
        <v>9245.6464881688007</v>
      </c>
      <c r="AL33" s="373">
        <f t="shared" si="69"/>
        <v>108103.59305599998</v>
      </c>
      <c r="AM33" s="377">
        <f>H33*0.35</f>
        <v>4729.5321961999989</v>
      </c>
      <c r="AN33" s="373">
        <f t="shared" si="70"/>
        <v>8691.862071528798</v>
      </c>
      <c r="AO33" s="373">
        <f t="shared" si="71"/>
        <v>121616.54218799998</v>
      </c>
      <c r="AP33" s="377">
        <f>H33*0.35</f>
        <v>4729.5321961999989</v>
      </c>
      <c r="AQ33" s="373">
        <f t="shared" si="72"/>
        <v>8691.862071528798</v>
      </c>
      <c r="AR33" s="373">
        <f t="shared" si="73"/>
        <v>135129.49131999997</v>
      </c>
      <c r="AS33" s="377">
        <f>H33*0.35</f>
        <v>4729.5321961999989</v>
      </c>
      <c r="AT33" s="373">
        <f t="shared" si="74"/>
        <v>8691.862071528798</v>
      </c>
      <c r="AU33" s="373">
        <f t="shared" si="75"/>
        <v>148642.44045199998</v>
      </c>
      <c r="AV33" s="377">
        <f t="shared" si="50"/>
        <v>4729.5321961999989</v>
      </c>
      <c r="AW33" s="373">
        <f t="shared" si="76"/>
        <v>8691.862071528798</v>
      </c>
      <c r="AX33" s="373">
        <f t="shared" si="77"/>
        <v>162155.38958399999</v>
      </c>
      <c r="AY33" s="377">
        <f t="shared" si="51"/>
        <v>4729.5321961999989</v>
      </c>
      <c r="AZ33" s="373">
        <f t="shared" si="52"/>
        <v>8691.862071528798</v>
      </c>
      <c r="BA33" s="292"/>
      <c r="BC33" s="358"/>
    </row>
    <row r="34" spans="1:55" ht="45.75" customHeight="1" x14ac:dyDescent="0.45">
      <c r="A34" s="762"/>
      <c r="B34" s="409" t="s">
        <v>237</v>
      </c>
      <c r="C34" s="410">
        <v>450</v>
      </c>
      <c r="D34" s="411">
        <v>4996.0199999999995</v>
      </c>
      <c r="E34" s="411">
        <v>14988.06</v>
      </c>
      <c r="F34" s="411">
        <v>19984.079999999998</v>
      </c>
      <c r="G34" s="537">
        <v>359</v>
      </c>
      <c r="H34" s="538">
        <v>11963.183728</v>
      </c>
      <c r="I34" s="536">
        <v>0.52</v>
      </c>
      <c r="J34" s="455">
        <v>8300</v>
      </c>
      <c r="K34" s="452">
        <v>8528.9096772618668</v>
      </c>
      <c r="L34" s="390">
        <v>8166.3209278314671</v>
      </c>
      <c r="M34" s="390">
        <f t="shared" si="44"/>
        <v>-362.58874943039973</v>
      </c>
      <c r="N34" s="390"/>
      <c r="O34" s="390">
        <f t="shared" si="53"/>
        <v>9073.3081672998596</v>
      </c>
      <c r="P34" s="372">
        <f t="shared" si="45"/>
        <v>81.326412604799998</v>
      </c>
      <c r="Q34" s="373">
        <f t="shared" si="54"/>
        <v>11963.183728</v>
      </c>
      <c r="R34" s="374">
        <f t="shared" si="46"/>
        <v>1892.6367456</v>
      </c>
      <c r="S34" s="373">
        <f t="shared" si="55"/>
        <v>9989.2205697951995</v>
      </c>
      <c r="T34" s="373">
        <f t="shared" si="56"/>
        <v>23926.367456</v>
      </c>
      <c r="U34" s="376">
        <f>Q34*0.2</f>
        <v>2392.6367456000003</v>
      </c>
      <c r="V34" s="373">
        <f t="shared" si="57"/>
        <v>9489.2205697951995</v>
      </c>
      <c r="W34" s="373">
        <f t="shared" si="58"/>
        <v>35889.551183999996</v>
      </c>
      <c r="X34" s="376">
        <f>(W34-25000)*0.27+(25000-T34)*0.2</f>
        <v>3154.9053284799993</v>
      </c>
      <c r="Y34" s="373">
        <f t="shared" si="59"/>
        <v>8726.9519869152009</v>
      </c>
      <c r="Z34" s="373">
        <f t="shared" si="60"/>
        <v>47852.734912</v>
      </c>
      <c r="AA34" s="376">
        <f t="shared" si="48"/>
        <v>3230.0596065600002</v>
      </c>
      <c r="AB34" s="373">
        <f t="shared" si="61"/>
        <v>8651.7977088352</v>
      </c>
      <c r="AC34" s="373">
        <f t="shared" si="62"/>
        <v>59815.918640000004</v>
      </c>
      <c r="AD34" s="376">
        <f t="shared" si="49"/>
        <v>3230.0596065600002</v>
      </c>
      <c r="AE34" s="373">
        <f t="shared" si="63"/>
        <v>8651.7977088352</v>
      </c>
      <c r="AF34" s="373">
        <f t="shared" si="64"/>
        <v>71779.102367999993</v>
      </c>
      <c r="AG34" s="376">
        <f t="shared" si="65"/>
        <v>3230.0596065600002</v>
      </c>
      <c r="AH34" s="373">
        <f t="shared" si="66"/>
        <v>8651.7977088352</v>
      </c>
      <c r="AI34" s="373">
        <f t="shared" si="67"/>
        <v>83742.286095999996</v>
      </c>
      <c r="AJ34" s="376">
        <f>H34*0.27</f>
        <v>3230.0596065600002</v>
      </c>
      <c r="AK34" s="373">
        <f t="shared" si="68"/>
        <v>8651.7977088352</v>
      </c>
      <c r="AL34" s="373">
        <f t="shared" si="69"/>
        <v>95705.469824</v>
      </c>
      <c r="AM34" s="377">
        <f>(AL34-88000)*0.35+(88000-AI34)*0.27</f>
        <v>3846.4971924800006</v>
      </c>
      <c r="AN34" s="373">
        <f t="shared" si="70"/>
        <v>8035.3601229151991</v>
      </c>
      <c r="AO34" s="373">
        <f t="shared" si="71"/>
        <v>107668.653552</v>
      </c>
      <c r="AP34" s="377">
        <f>H34*0.35</f>
        <v>4187.1143047999994</v>
      </c>
      <c r="AQ34" s="373">
        <f t="shared" si="72"/>
        <v>7694.7430105952008</v>
      </c>
      <c r="AR34" s="373">
        <f t="shared" si="73"/>
        <v>119631.83728000001</v>
      </c>
      <c r="AS34" s="377">
        <f>H34*0.35</f>
        <v>4187.1143047999994</v>
      </c>
      <c r="AT34" s="373">
        <f t="shared" si="74"/>
        <v>7694.7430105952008</v>
      </c>
      <c r="AU34" s="373">
        <f t="shared" si="75"/>
        <v>131595.02100800001</v>
      </c>
      <c r="AV34" s="377">
        <f t="shared" si="50"/>
        <v>4187.1143047999994</v>
      </c>
      <c r="AW34" s="373">
        <f t="shared" si="76"/>
        <v>7694.7430105952008</v>
      </c>
      <c r="AX34" s="373">
        <f t="shared" si="77"/>
        <v>143558.20473599999</v>
      </c>
      <c r="AY34" s="377">
        <f t="shared" si="51"/>
        <v>4187.1143047999994</v>
      </c>
      <c r="AZ34" s="373">
        <f t="shared" si="52"/>
        <v>7694.7430105952008</v>
      </c>
      <c r="BA34" s="292"/>
      <c r="BC34" s="358"/>
    </row>
    <row r="35" spans="1:55" ht="45.75" customHeight="1" x14ac:dyDescent="0.45">
      <c r="A35" s="762"/>
      <c r="B35" s="418" t="s">
        <v>234</v>
      </c>
      <c r="C35" s="406">
        <v>300</v>
      </c>
      <c r="D35" s="419">
        <v>4996.0199999999995</v>
      </c>
      <c r="E35" s="419">
        <v>9992.0399999999991</v>
      </c>
      <c r="F35" s="419">
        <v>14988.059999999998</v>
      </c>
      <c r="G35" s="537">
        <v>359</v>
      </c>
      <c r="H35" s="538">
        <v>10272.530559999999</v>
      </c>
      <c r="I35" s="536">
        <v>0.6</v>
      </c>
      <c r="J35" s="455">
        <v>7300</v>
      </c>
      <c r="K35" s="452">
        <v>7441.1434289706667</v>
      </c>
      <c r="L35" s="390">
        <v>7138.9861377786683</v>
      </c>
      <c r="M35" s="390">
        <f t="shared" si="44"/>
        <v>-302.15729119199841</v>
      </c>
      <c r="N35" s="390"/>
      <c r="O35" s="390">
        <f t="shared" si="53"/>
        <v>7916.1100308198584</v>
      </c>
      <c r="P35" s="372">
        <f t="shared" si="45"/>
        <v>70.168101695999994</v>
      </c>
      <c r="Q35" s="373">
        <f t="shared" si="54"/>
        <v>10272.530559999999</v>
      </c>
      <c r="R35" s="378">
        <f t="shared" ref="R35:R38" si="80">Q35*0.15</f>
        <v>1540.8795839999998</v>
      </c>
      <c r="S35" s="373">
        <f t="shared" si="55"/>
        <v>8661.4828743039998</v>
      </c>
      <c r="T35" s="373">
        <f t="shared" si="56"/>
        <v>20545.061119999998</v>
      </c>
      <c r="U35" s="374">
        <f t="shared" ref="U35:U38" si="81">(T35-10000)*0.2+(10000-Q35)*0.15</f>
        <v>2068.1326399999998</v>
      </c>
      <c r="V35" s="373">
        <f t="shared" si="57"/>
        <v>8134.2298183040002</v>
      </c>
      <c r="W35" s="373">
        <f t="shared" si="58"/>
        <v>30817.591679999998</v>
      </c>
      <c r="X35" s="376">
        <f>(W35-25000)*0.27+(25000-T35)*0.2</f>
        <v>2461.7375296</v>
      </c>
      <c r="Y35" s="373">
        <f t="shared" si="59"/>
        <v>7740.624928704</v>
      </c>
      <c r="Z35" s="373">
        <f t="shared" si="60"/>
        <v>41090.122239999997</v>
      </c>
      <c r="AA35" s="376">
        <f t="shared" si="48"/>
        <v>2773.5832512000002</v>
      </c>
      <c r="AB35" s="373">
        <f t="shared" si="61"/>
        <v>7428.7792071040003</v>
      </c>
      <c r="AC35" s="373">
        <f t="shared" si="62"/>
        <v>51362.652799999996</v>
      </c>
      <c r="AD35" s="376">
        <f t="shared" si="49"/>
        <v>2773.5832512000002</v>
      </c>
      <c r="AE35" s="373">
        <f t="shared" si="63"/>
        <v>7428.7792071040003</v>
      </c>
      <c r="AF35" s="373">
        <f t="shared" si="64"/>
        <v>61635.183359999995</v>
      </c>
      <c r="AG35" s="376">
        <f t="shared" si="65"/>
        <v>2773.5832512000002</v>
      </c>
      <c r="AH35" s="373">
        <f t="shared" si="66"/>
        <v>7428.7792071040003</v>
      </c>
      <c r="AI35" s="373">
        <f t="shared" si="67"/>
        <v>71907.713919999995</v>
      </c>
      <c r="AJ35" s="376">
        <f>H35*0.27</f>
        <v>2773.5832512000002</v>
      </c>
      <c r="AK35" s="373">
        <f t="shared" si="68"/>
        <v>7428.7792071040003</v>
      </c>
      <c r="AL35" s="373">
        <f t="shared" si="69"/>
        <v>82180.244479999994</v>
      </c>
      <c r="AM35" s="376">
        <f>H35*0.27</f>
        <v>2773.5832512000002</v>
      </c>
      <c r="AN35" s="373">
        <f t="shared" si="70"/>
        <v>7428.7792071040003</v>
      </c>
      <c r="AO35" s="373">
        <f t="shared" si="71"/>
        <v>92452.775039999993</v>
      </c>
      <c r="AP35" s="377">
        <f>(AO35-88000)*0.35+(88000-AL35)*0.27</f>
        <v>3129.8052543999993</v>
      </c>
      <c r="AQ35" s="373">
        <f t="shared" si="72"/>
        <v>7072.5572039040007</v>
      </c>
      <c r="AR35" s="373">
        <f t="shared" si="73"/>
        <v>102725.30559999999</v>
      </c>
      <c r="AS35" s="377">
        <f>H35*0.35</f>
        <v>3595.3856959999994</v>
      </c>
      <c r="AT35" s="373">
        <f t="shared" si="74"/>
        <v>6606.9767623040007</v>
      </c>
      <c r="AU35" s="373">
        <f t="shared" si="75"/>
        <v>112997.83615999999</v>
      </c>
      <c r="AV35" s="377">
        <f t="shared" si="50"/>
        <v>3595.3856959999994</v>
      </c>
      <c r="AW35" s="373">
        <f t="shared" si="76"/>
        <v>6606.9767623040007</v>
      </c>
      <c r="AX35" s="373">
        <f t="shared" si="77"/>
        <v>123270.36671999999</v>
      </c>
      <c r="AY35" s="377">
        <f t="shared" si="51"/>
        <v>3595.3856959999994</v>
      </c>
      <c r="AZ35" s="373">
        <f t="shared" si="52"/>
        <v>6606.9767623040007</v>
      </c>
      <c r="BA35" s="292"/>
      <c r="BC35" s="358"/>
    </row>
    <row r="36" spans="1:55" ht="45.75" customHeight="1" x14ac:dyDescent="0.45">
      <c r="A36" s="762"/>
      <c r="B36" s="418" t="s">
        <v>242</v>
      </c>
      <c r="C36" s="406">
        <v>300</v>
      </c>
      <c r="D36" s="419">
        <v>4996.0199999999995</v>
      </c>
      <c r="E36" s="419">
        <v>9992.0399999999991</v>
      </c>
      <c r="F36" s="419">
        <v>14988.059999999998</v>
      </c>
      <c r="G36" s="537">
        <v>359</v>
      </c>
      <c r="H36" s="538">
        <v>9708.979503999999</v>
      </c>
      <c r="I36" s="544">
        <v>0.54</v>
      </c>
      <c r="J36" s="455">
        <v>7100</v>
      </c>
      <c r="K36" s="452">
        <v>7078.554679540267</v>
      </c>
      <c r="L36" s="390">
        <v>7138.9861377786683</v>
      </c>
      <c r="M36" s="390">
        <f t="shared" si="44"/>
        <v>60.431458238401319</v>
      </c>
      <c r="N36" s="390"/>
      <c r="O36" s="390">
        <f t="shared" si="53"/>
        <v>7530.3773186598592</v>
      </c>
      <c r="P36" s="372">
        <f t="shared" si="45"/>
        <v>66.448664726399997</v>
      </c>
      <c r="Q36" s="373">
        <f t="shared" si="54"/>
        <v>9708.979503999999</v>
      </c>
      <c r="R36" s="378">
        <f t="shared" si="80"/>
        <v>1456.3469255999998</v>
      </c>
      <c r="S36" s="373">
        <f t="shared" si="55"/>
        <v>8186.1839136735989</v>
      </c>
      <c r="T36" s="373">
        <f t="shared" si="56"/>
        <v>19417.959007999998</v>
      </c>
      <c r="U36" s="374">
        <f t="shared" si="81"/>
        <v>1927.2448759999997</v>
      </c>
      <c r="V36" s="373">
        <f t="shared" si="57"/>
        <v>7715.285963273599</v>
      </c>
      <c r="W36" s="373">
        <f t="shared" si="58"/>
        <v>29126.938511999997</v>
      </c>
      <c r="X36" s="376">
        <f>(W36-25000)*0.27+(25000-T36)*0.2</f>
        <v>2230.68159664</v>
      </c>
      <c r="Y36" s="373">
        <f t="shared" si="59"/>
        <v>7411.8492426335988</v>
      </c>
      <c r="Z36" s="373">
        <f t="shared" si="60"/>
        <v>38835.918015999996</v>
      </c>
      <c r="AA36" s="376">
        <f t="shared" si="48"/>
        <v>2621.42446608</v>
      </c>
      <c r="AB36" s="373">
        <f t="shared" si="61"/>
        <v>7021.1063731935992</v>
      </c>
      <c r="AC36" s="373">
        <f t="shared" si="62"/>
        <v>48544.897519999999</v>
      </c>
      <c r="AD36" s="376">
        <f t="shared" si="49"/>
        <v>2621.42446608</v>
      </c>
      <c r="AE36" s="373">
        <f t="shared" si="63"/>
        <v>7021.1063731935992</v>
      </c>
      <c r="AF36" s="373">
        <f t="shared" si="64"/>
        <v>58253.877023999994</v>
      </c>
      <c r="AG36" s="376">
        <f t="shared" si="65"/>
        <v>2621.42446608</v>
      </c>
      <c r="AH36" s="373">
        <f t="shared" si="66"/>
        <v>7021.1063731935992</v>
      </c>
      <c r="AI36" s="373">
        <f t="shared" si="67"/>
        <v>67962.856527999989</v>
      </c>
      <c r="AJ36" s="376">
        <f>H36*0.27</f>
        <v>2621.42446608</v>
      </c>
      <c r="AK36" s="373">
        <f t="shared" si="68"/>
        <v>7021.1063731935992</v>
      </c>
      <c r="AL36" s="373">
        <f t="shared" si="69"/>
        <v>77671.836031999992</v>
      </c>
      <c r="AM36" s="376">
        <f>H36*0.27</f>
        <v>2621.42446608</v>
      </c>
      <c r="AN36" s="373">
        <f t="shared" si="70"/>
        <v>7021.1063731935992</v>
      </c>
      <c r="AO36" s="373">
        <f t="shared" si="71"/>
        <v>87380.815535999995</v>
      </c>
      <c r="AP36" s="377">
        <f>(AO36-88000)*0.35+(88000-AL36)*0.27</f>
        <v>2571.8897089600005</v>
      </c>
      <c r="AQ36" s="373">
        <f t="shared" si="72"/>
        <v>7070.6411303135983</v>
      </c>
      <c r="AR36" s="373">
        <f t="shared" si="73"/>
        <v>97089.795039999997</v>
      </c>
      <c r="AS36" s="377">
        <f>H36*0.35</f>
        <v>3398.1428263999996</v>
      </c>
      <c r="AT36" s="373">
        <f t="shared" si="74"/>
        <v>6244.3880128735991</v>
      </c>
      <c r="AU36" s="373">
        <f t="shared" si="75"/>
        <v>106798.77454399999</v>
      </c>
      <c r="AV36" s="377">
        <f t="shared" si="50"/>
        <v>3398.1428263999996</v>
      </c>
      <c r="AW36" s="373">
        <f t="shared" si="76"/>
        <v>6244.3880128735991</v>
      </c>
      <c r="AX36" s="373">
        <f t="shared" si="77"/>
        <v>116507.75404799999</v>
      </c>
      <c r="AY36" s="377">
        <f t="shared" si="51"/>
        <v>3398.1428263999996</v>
      </c>
      <c r="AZ36" s="373">
        <f t="shared" si="52"/>
        <v>6244.3880128735991</v>
      </c>
      <c r="BA36" s="292"/>
      <c r="BC36" s="358"/>
    </row>
    <row r="37" spans="1:55" ht="45.75" customHeight="1" x14ac:dyDescent="0.45">
      <c r="A37" s="762"/>
      <c r="B37" s="418" t="s">
        <v>235</v>
      </c>
      <c r="C37" s="406">
        <v>300</v>
      </c>
      <c r="D37" s="419">
        <v>4996.0199999999995</v>
      </c>
      <c r="E37" s="419">
        <v>9992.0399999999991</v>
      </c>
      <c r="F37" s="419">
        <v>14988.059999999998</v>
      </c>
      <c r="G37" s="537">
        <v>359</v>
      </c>
      <c r="H37" s="538">
        <v>9333.2788</v>
      </c>
      <c r="I37" s="544">
        <v>0.5</v>
      </c>
      <c r="J37" s="455">
        <v>6900</v>
      </c>
      <c r="K37" s="452">
        <v>6836.8288465866681</v>
      </c>
      <c r="L37" s="390">
        <v>6836.8288465866681</v>
      </c>
      <c r="M37" s="390">
        <f t="shared" si="44"/>
        <v>0</v>
      </c>
      <c r="N37" s="390"/>
      <c r="O37" s="390">
        <f t="shared" si="53"/>
        <v>7273.22217721986</v>
      </c>
      <c r="P37" s="372">
        <f t="shared" si="45"/>
        <v>63.969040079999999</v>
      </c>
      <c r="Q37" s="373">
        <f t="shared" si="54"/>
        <v>9333.2788</v>
      </c>
      <c r="R37" s="378">
        <f t="shared" si="80"/>
        <v>1399.99182</v>
      </c>
      <c r="S37" s="373">
        <f t="shared" si="55"/>
        <v>7869.3179399200008</v>
      </c>
      <c r="T37" s="373">
        <f t="shared" si="56"/>
        <v>18666.5576</v>
      </c>
      <c r="U37" s="374">
        <f t="shared" si="81"/>
        <v>1833.3197000000002</v>
      </c>
      <c r="V37" s="373">
        <f t="shared" si="57"/>
        <v>7435.9900599200009</v>
      </c>
      <c r="W37" s="373">
        <f t="shared" si="58"/>
        <v>27999.8364</v>
      </c>
      <c r="X37" s="376">
        <f>(W37-25000)*0.27+(25000-T37)*0.2</f>
        <v>2076.6443079999999</v>
      </c>
      <c r="Y37" s="373">
        <f t="shared" si="59"/>
        <v>7192.665451920001</v>
      </c>
      <c r="Z37" s="373">
        <f t="shared" si="60"/>
        <v>37333.1152</v>
      </c>
      <c r="AA37" s="376">
        <f t="shared" si="48"/>
        <v>2519.9852760000003</v>
      </c>
      <c r="AB37" s="373">
        <f t="shared" si="61"/>
        <v>6749.3244839200006</v>
      </c>
      <c r="AC37" s="373">
        <f t="shared" si="62"/>
        <v>46666.394</v>
      </c>
      <c r="AD37" s="376">
        <f t="shared" si="49"/>
        <v>2519.9852760000003</v>
      </c>
      <c r="AE37" s="373">
        <f t="shared" si="63"/>
        <v>6749.3244839200006</v>
      </c>
      <c r="AF37" s="373">
        <f t="shared" si="64"/>
        <v>55999.6728</v>
      </c>
      <c r="AG37" s="376">
        <f t="shared" si="65"/>
        <v>2519.9852760000003</v>
      </c>
      <c r="AH37" s="373">
        <f t="shared" si="66"/>
        <v>6749.3244839200006</v>
      </c>
      <c r="AI37" s="373">
        <f t="shared" si="67"/>
        <v>65332.9516</v>
      </c>
      <c r="AJ37" s="376">
        <f>H37*0.27</f>
        <v>2519.9852760000003</v>
      </c>
      <c r="AK37" s="373">
        <f t="shared" si="68"/>
        <v>6749.3244839200006</v>
      </c>
      <c r="AL37" s="373">
        <f t="shared" si="69"/>
        <v>74666.2304</v>
      </c>
      <c r="AM37" s="376">
        <f>H37*0.27</f>
        <v>2519.9852760000003</v>
      </c>
      <c r="AN37" s="373">
        <f t="shared" si="70"/>
        <v>6749.3244839200006</v>
      </c>
      <c r="AO37" s="373">
        <f t="shared" si="71"/>
        <v>83999.5092</v>
      </c>
      <c r="AP37" s="376">
        <f>H37*0.27</f>
        <v>2519.9852760000003</v>
      </c>
      <c r="AQ37" s="373">
        <f t="shared" si="72"/>
        <v>6749.3244839200006</v>
      </c>
      <c r="AR37" s="373">
        <f t="shared" si="73"/>
        <v>93332.788</v>
      </c>
      <c r="AS37" s="377">
        <f>(AR37-88000)*0.35+(88000-AO37)*0.27</f>
        <v>2946.6083159999998</v>
      </c>
      <c r="AT37" s="373">
        <f t="shared" si="74"/>
        <v>6322.7014439200011</v>
      </c>
      <c r="AU37" s="373">
        <f t="shared" si="75"/>
        <v>102666.0668</v>
      </c>
      <c r="AV37" s="377">
        <f t="shared" si="50"/>
        <v>3266.6475799999998</v>
      </c>
      <c r="AW37" s="373">
        <f t="shared" si="76"/>
        <v>6002.6621799200011</v>
      </c>
      <c r="AX37" s="373">
        <f t="shared" si="77"/>
        <v>111999.3456</v>
      </c>
      <c r="AY37" s="377">
        <f t="shared" si="51"/>
        <v>3266.6475799999998</v>
      </c>
      <c r="AZ37" s="373">
        <f t="shared" si="52"/>
        <v>6002.6621799200011</v>
      </c>
      <c r="BA37" s="292"/>
      <c r="BC37" s="358"/>
    </row>
    <row r="38" spans="1:55" ht="45.75" customHeight="1" x14ac:dyDescent="0.45">
      <c r="A38" s="762"/>
      <c r="B38" s="424" t="s">
        <v>224</v>
      </c>
      <c r="C38" s="410">
        <v>300</v>
      </c>
      <c r="D38" s="411">
        <v>4996.0199999999995</v>
      </c>
      <c r="E38" s="411">
        <v>9992.0399999999991</v>
      </c>
      <c r="F38" s="411">
        <v>14988.059999999998</v>
      </c>
      <c r="G38" s="537">
        <v>359</v>
      </c>
      <c r="H38" s="538">
        <v>6421.5983439999991</v>
      </c>
      <c r="I38" s="544">
        <v>0.19</v>
      </c>
      <c r="J38" s="455">
        <v>4900</v>
      </c>
      <c r="K38" s="452">
        <v>4890.514842049598</v>
      </c>
      <c r="L38" s="390">
        <v>4890.514842049598</v>
      </c>
      <c r="M38" s="390">
        <f t="shared" si="44"/>
        <v>0</v>
      </c>
      <c r="N38" s="390"/>
      <c r="O38" s="390">
        <f t="shared" si="53"/>
        <v>5202.6753638825512</v>
      </c>
      <c r="P38" s="372">
        <f t="shared" si="45"/>
        <v>44.751949070399995</v>
      </c>
      <c r="Q38" s="373">
        <f t="shared" si="54"/>
        <v>6421.5983439999991</v>
      </c>
      <c r="R38" s="378">
        <f t="shared" si="80"/>
        <v>963.23975159999986</v>
      </c>
      <c r="S38" s="373">
        <f t="shared" si="55"/>
        <v>5413.6066433295991</v>
      </c>
      <c r="T38" s="373">
        <f t="shared" si="56"/>
        <v>12843.196687999998</v>
      </c>
      <c r="U38" s="374">
        <f t="shared" si="81"/>
        <v>1105.3995859999998</v>
      </c>
      <c r="V38" s="373">
        <f t="shared" si="57"/>
        <v>5271.4468089295997</v>
      </c>
      <c r="W38" s="373">
        <f t="shared" si="58"/>
        <v>19264.795031999998</v>
      </c>
      <c r="X38" s="374">
        <f>Q38*0.2</f>
        <v>1284.3196687999998</v>
      </c>
      <c r="Y38" s="373">
        <f t="shared" si="59"/>
        <v>5092.5267261295994</v>
      </c>
      <c r="Z38" s="373">
        <f t="shared" si="60"/>
        <v>25686.393375999996</v>
      </c>
      <c r="AA38" s="376">
        <f>(Z38-25000)*0.27+(25000-W38)*0.2</f>
        <v>1332.3672051199994</v>
      </c>
      <c r="AB38" s="373">
        <f t="shared" si="61"/>
        <v>5044.4791898096</v>
      </c>
      <c r="AC38" s="373">
        <f t="shared" si="62"/>
        <v>32107.991719999995</v>
      </c>
      <c r="AD38" s="376">
        <f t="shared" si="49"/>
        <v>1733.8315528799999</v>
      </c>
      <c r="AE38" s="373">
        <f t="shared" si="63"/>
        <v>4643.0148420495989</v>
      </c>
      <c r="AF38" s="373">
        <f t="shared" si="64"/>
        <v>38529.590063999996</v>
      </c>
      <c r="AG38" s="376">
        <f t="shared" si="65"/>
        <v>1733.8315528799999</v>
      </c>
      <c r="AH38" s="373">
        <f t="shared" si="66"/>
        <v>4643.0148420495989</v>
      </c>
      <c r="AI38" s="373">
        <f t="shared" si="67"/>
        <v>44951.188407999995</v>
      </c>
      <c r="AJ38" s="376">
        <f>H38*0.27</f>
        <v>1733.8315528799999</v>
      </c>
      <c r="AK38" s="373">
        <f t="shared" si="68"/>
        <v>4643.0148420495989</v>
      </c>
      <c r="AL38" s="373">
        <f t="shared" si="69"/>
        <v>51372.786751999993</v>
      </c>
      <c r="AM38" s="376">
        <f>H38*0.27</f>
        <v>1733.8315528799999</v>
      </c>
      <c r="AN38" s="373">
        <f t="shared" si="70"/>
        <v>4643.0148420495989</v>
      </c>
      <c r="AO38" s="373">
        <f t="shared" si="71"/>
        <v>57794.385095999991</v>
      </c>
      <c r="AP38" s="376">
        <f>H38*0.27</f>
        <v>1733.8315528799999</v>
      </c>
      <c r="AQ38" s="373">
        <f t="shared" si="72"/>
        <v>4643.0148420495989</v>
      </c>
      <c r="AR38" s="373">
        <f t="shared" si="73"/>
        <v>64215.983439999989</v>
      </c>
      <c r="AS38" s="376">
        <f>H38*0.27</f>
        <v>1733.8315528799999</v>
      </c>
      <c r="AT38" s="373">
        <f t="shared" si="74"/>
        <v>4643.0148420495989</v>
      </c>
      <c r="AU38" s="373">
        <f t="shared" si="75"/>
        <v>70637.581783999995</v>
      </c>
      <c r="AV38" s="376">
        <f>H38*0.27</f>
        <v>1733.8315528799999</v>
      </c>
      <c r="AW38" s="373">
        <f t="shared" si="76"/>
        <v>4643.0148420495989</v>
      </c>
      <c r="AX38" s="373">
        <f t="shared" si="77"/>
        <v>77059.180127999993</v>
      </c>
      <c r="AY38" s="376">
        <f>H38*0.27</f>
        <v>1733.8315528799999</v>
      </c>
      <c r="AZ38" s="373">
        <f t="shared" si="52"/>
        <v>4643.0148420495989</v>
      </c>
      <c r="BA38" s="292"/>
      <c r="BC38" s="358"/>
    </row>
    <row r="39" spans="1:55" ht="45.75" customHeight="1" x14ac:dyDescent="0.45">
      <c r="A39" s="762" t="s">
        <v>29</v>
      </c>
      <c r="B39" s="418" t="s">
        <v>221</v>
      </c>
      <c r="C39" s="406">
        <v>600</v>
      </c>
      <c r="D39" s="419">
        <v>4996.0199999999995</v>
      </c>
      <c r="E39" s="419">
        <v>19984.079999999998</v>
      </c>
      <c r="F39" s="419">
        <v>24980.1</v>
      </c>
      <c r="G39" s="537">
        <v>359</v>
      </c>
      <c r="H39" s="538">
        <v>16847.292879999997</v>
      </c>
      <c r="I39" s="544">
        <v>0.65</v>
      </c>
      <c r="J39" s="455">
        <v>11600</v>
      </c>
      <c r="K39" s="452">
        <v>11671.345505658663</v>
      </c>
      <c r="L39" s="390">
        <v>11308.756756228262</v>
      </c>
      <c r="M39" s="390">
        <f t="shared" si="44"/>
        <v>-362.58874943040064</v>
      </c>
      <c r="N39" s="390"/>
      <c r="O39" s="390">
        <f t="shared" si="53"/>
        <v>12416.325006019855</v>
      </c>
      <c r="P39" s="372">
        <f t="shared" si="45"/>
        <v>113.56153300799998</v>
      </c>
      <c r="Q39" s="373">
        <f t="shared" si="54"/>
        <v>16847.292879999997</v>
      </c>
      <c r="R39" s="374">
        <f t="shared" si="46"/>
        <v>2869.4585759999995</v>
      </c>
      <c r="S39" s="373">
        <f t="shared" si="55"/>
        <v>13864.272770991998</v>
      </c>
      <c r="T39" s="373">
        <f t="shared" si="56"/>
        <v>33694.585759999994</v>
      </c>
      <c r="U39" s="376">
        <f>(T39-25000)*0.27+(25000-Q39)*0.2</f>
        <v>3978.079579199999</v>
      </c>
      <c r="V39" s="373">
        <f t="shared" si="57"/>
        <v>12755.651767791998</v>
      </c>
      <c r="W39" s="373">
        <f t="shared" si="58"/>
        <v>50541.878639999995</v>
      </c>
      <c r="X39" s="376">
        <f t="shared" ref="X39" si="82">Q39*0.27</f>
        <v>4548.7690775999999</v>
      </c>
      <c r="Y39" s="373">
        <f t="shared" si="59"/>
        <v>12184.962269391997</v>
      </c>
      <c r="Z39" s="373">
        <f t="shared" si="60"/>
        <v>67389.171519999989</v>
      </c>
      <c r="AA39" s="376">
        <f t="shared" ref="AA39:AA45" si="83">H39*0.27</f>
        <v>4548.7690775999999</v>
      </c>
      <c r="AB39" s="373">
        <f t="shared" si="61"/>
        <v>12184.962269391997</v>
      </c>
      <c r="AC39" s="373">
        <f t="shared" si="62"/>
        <v>84236.464399999983</v>
      </c>
      <c r="AD39" s="376">
        <f t="shared" si="49"/>
        <v>4548.7690775999999</v>
      </c>
      <c r="AE39" s="373">
        <f t="shared" si="63"/>
        <v>12184.962269391997</v>
      </c>
      <c r="AF39" s="373">
        <f t="shared" si="64"/>
        <v>101083.75727999999</v>
      </c>
      <c r="AG39" s="377">
        <f>(AF39-88000)*0.35+(88000-AC39)*0.27</f>
        <v>5595.4696600000016</v>
      </c>
      <c r="AH39" s="373">
        <f t="shared" si="66"/>
        <v>11138.261686991995</v>
      </c>
      <c r="AI39" s="373">
        <f t="shared" si="67"/>
        <v>117931.05015999998</v>
      </c>
      <c r="AJ39" s="377">
        <f>H39*0.35</f>
        <v>5896.5525079999989</v>
      </c>
      <c r="AK39" s="373">
        <f t="shared" si="68"/>
        <v>10837.178838991998</v>
      </c>
      <c r="AL39" s="373">
        <f t="shared" si="69"/>
        <v>134778.34303999998</v>
      </c>
      <c r="AM39" s="377">
        <f>H39*0.35</f>
        <v>5896.5525079999989</v>
      </c>
      <c r="AN39" s="373">
        <f t="shared" si="70"/>
        <v>10837.178838991998</v>
      </c>
      <c r="AO39" s="373">
        <f t="shared" si="71"/>
        <v>151625.63591999997</v>
      </c>
      <c r="AP39" s="377">
        <f>H39*0.35</f>
        <v>5896.5525079999989</v>
      </c>
      <c r="AQ39" s="373">
        <f t="shared" si="72"/>
        <v>10837.178838991998</v>
      </c>
      <c r="AR39" s="373">
        <f t="shared" si="73"/>
        <v>168472.92879999997</v>
      </c>
      <c r="AS39" s="377">
        <f>H39*0.35</f>
        <v>5896.5525079999989</v>
      </c>
      <c r="AT39" s="373">
        <f t="shared" si="74"/>
        <v>10837.178838991998</v>
      </c>
      <c r="AU39" s="373">
        <f t="shared" si="75"/>
        <v>185320.22167999996</v>
      </c>
      <c r="AV39" s="377">
        <f t="shared" ref="AV39:AV45" si="84">H39*0.35</f>
        <v>5896.5525079999989</v>
      </c>
      <c r="AW39" s="373">
        <f t="shared" si="76"/>
        <v>10837.178838991998</v>
      </c>
      <c r="AX39" s="373">
        <f t="shared" si="77"/>
        <v>202167.51455999998</v>
      </c>
      <c r="AY39" s="377">
        <f t="shared" ref="AY39:AY45" si="85">H39*0.35</f>
        <v>5896.5525079999989</v>
      </c>
      <c r="AZ39" s="373">
        <f t="shared" si="52"/>
        <v>10837.178838991998</v>
      </c>
      <c r="BA39" s="292"/>
      <c r="BC39" s="358"/>
    </row>
    <row r="40" spans="1:55" ht="45.75" customHeight="1" x14ac:dyDescent="0.45">
      <c r="A40" s="762"/>
      <c r="B40" s="418" t="s">
        <v>222</v>
      </c>
      <c r="C40" s="406">
        <v>600</v>
      </c>
      <c r="D40" s="419">
        <v>4996.0199999999995</v>
      </c>
      <c r="E40" s="419">
        <v>19984.079999999998</v>
      </c>
      <c r="F40" s="419">
        <v>24980.1</v>
      </c>
      <c r="G40" s="537">
        <v>359</v>
      </c>
      <c r="H40" s="538">
        <v>10836.081615999999</v>
      </c>
      <c r="I40" s="544">
        <v>0.33</v>
      </c>
      <c r="J40" s="455">
        <v>7900</v>
      </c>
      <c r="K40" s="452">
        <v>7803.7321784010674</v>
      </c>
      <c r="L40" s="390">
        <v>7803.7321784010674</v>
      </c>
      <c r="M40" s="390">
        <f t="shared" si="44"/>
        <v>0</v>
      </c>
      <c r="N40" s="390"/>
      <c r="O40" s="390">
        <f t="shared" si="53"/>
        <v>8301.8427429798594</v>
      </c>
      <c r="P40" s="372">
        <f t="shared" si="45"/>
        <v>73.88753866559999</v>
      </c>
      <c r="Q40" s="373">
        <f t="shared" si="54"/>
        <v>10836.081615999999</v>
      </c>
      <c r="R40" s="374">
        <f t="shared" si="46"/>
        <v>1667.2163231999998</v>
      </c>
      <c r="S40" s="373">
        <f t="shared" si="55"/>
        <v>9094.9777541343992</v>
      </c>
      <c r="T40" s="373">
        <f t="shared" si="56"/>
        <v>21672.163231999999</v>
      </c>
      <c r="U40" s="374">
        <f>H40*0.2</f>
        <v>2167.2163231999998</v>
      </c>
      <c r="V40" s="373">
        <f t="shared" si="57"/>
        <v>8594.9777541343992</v>
      </c>
      <c r="W40" s="373">
        <f t="shared" si="58"/>
        <v>32508.244847999998</v>
      </c>
      <c r="X40" s="376">
        <f t="shared" ref="X40:X45" si="86">(W40-25000)*0.27+(25000-T40)*0.2</f>
        <v>2692.7934625600001</v>
      </c>
      <c r="Y40" s="373">
        <f t="shared" si="59"/>
        <v>8069.4006147743994</v>
      </c>
      <c r="Z40" s="373">
        <f t="shared" si="60"/>
        <v>43344.326463999998</v>
      </c>
      <c r="AA40" s="376">
        <f t="shared" si="83"/>
        <v>2925.7420363199999</v>
      </c>
      <c r="AB40" s="373">
        <f t="shared" si="61"/>
        <v>7836.4520410143996</v>
      </c>
      <c r="AC40" s="373">
        <f t="shared" si="62"/>
        <v>54180.408079999994</v>
      </c>
      <c r="AD40" s="376">
        <f t="shared" si="49"/>
        <v>2925.7420363199999</v>
      </c>
      <c r="AE40" s="373">
        <f t="shared" si="63"/>
        <v>7836.4520410143996</v>
      </c>
      <c r="AF40" s="373">
        <f t="shared" si="64"/>
        <v>65016.489695999997</v>
      </c>
      <c r="AG40" s="376">
        <f t="shared" ref="AG40:AG51" si="87">H40*0.27</f>
        <v>2925.7420363199999</v>
      </c>
      <c r="AH40" s="373">
        <f t="shared" si="66"/>
        <v>7836.4520410143996</v>
      </c>
      <c r="AI40" s="373">
        <f t="shared" si="67"/>
        <v>75852.571312</v>
      </c>
      <c r="AJ40" s="376">
        <f>H40*0.27</f>
        <v>2925.7420363199999</v>
      </c>
      <c r="AK40" s="373">
        <f t="shared" si="68"/>
        <v>7836.4520410143996</v>
      </c>
      <c r="AL40" s="373">
        <f t="shared" si="69"/>
        <v>86688.652927999996</v>
      </c>
      <c r="AM40" s="376">
        <f>H40*0.27</f>
        <v>2925.7420363199999</v>
      </c>
      <c r="AN40" s="373">
        <f t="shared" si="70"/>
        <v>7836.4520410143996</v>
      </c>
      <c r="AO40" s="373">
        <f t="shared" si="71"/>
        <v>97524.734543999992</v>
      </c>
      <c r="AP40" s="377">
        <f>(AO40-88000)*0.35+(88000-AL40)*0.27</f>
        <v>3687.7207998399981</v>
      </c>
      <c r="AQ40" s="373">
        <f t="shared" si="72"/>
        <v>7074.4732774944014</v>
      </c>
      <c r="AR40" s="373">
        <f t="shared" si="73"/>
        <v>108360.81615999999</v>
      </c>
      <c r="AS40" s="377">
        <f>H40*0.35</f>
        <v>3792.6285655999995</v>
      </c>
      <c r="AT40" s="373">
        <f t="shared" si="74"/>
        <v>6969.5655117343995</v>
      </c>
      <c r="AU40" s="373">
        <f t="shared" si="75"/>
        <v>119196.897776</v>
      </c>
      <c r="AV40" s="377">
        <f t="shared" si="84"/>
        <v>3792.6285655999995</v>
      </c>
      <c r="AW40" s="373">
        <f t="shared" si="76"/>
        <v>6969.5655117343995</v>
      </c>
      <c r="AX40" s="373">
        <f t="shared" si="77"/>
        <v>130032.97939199999</v>
      </c>
      <c r="AY40" s="377">
        <f t="shared" si="85"/>
        <v>3792.6285655999995</v>
      </c>
      <c r="AZ40" s="373">
        <f t="shared" si="52"/>
        <v>6969.5655117343995</v>
      </c>
      <c r="BA40" s="292"/>
      <c r="BC40" s="358"/>
    </row>
    <row r="41" spans="1:55" ht="45.75" customHeight="1" x14ac:dyDescent="0.45">
      <c r="A41" s="762"/>
      <c r="B41" s="409" t="s">
        <v>32</v>
      </c>
      <c r="C41" s="410">
        <v>450</v>
      </c>
      <c r="D41" s="411">
        <v>4996.0199999999995</v>
      </c>
      <c r="E41" s="411">
        <v>14988.06</v>
      </c>
      <c r="F41" s="411">
        <v>19984.079999999998</v>
      </c>
      <c r="G41" s="537">
        <v>359</v>
      </c>
      <c r="H41" s="538">
        <v>12808.510311999999</v>
      </c>
      <c r="I41" s="544">
        <v>0.57999999999999996</v>
      </c>
      <c r="J41" s="455">
        <v>9000</v>
      </c>
      <c r="K41" s="452">
        <v>9072.792801407466</v>
      </c>
      <c r="L41" s="390">
        <v>8800.8512393346664</v>
      </c>
      <c r="M41" s="390">
        <f t="shared" si="44"/>
        <v>-271.94156207279957</v>
      </c>
      <c r="N41" s="390"/>
      <c r="O41" s="390">
        <f t="shared" si="53"/>
        <v>9651.9072355398584</v>
      </c>
      <c r="P41" s="372">
        <f t="shared" si="45"/>
        <v>86.905568059199993</v>
      </c>
      <c r="Q41" s="373">
        <f t="shared" si="54"/>
        <v>12808.510311999999</v>
      </c>
      <c r="R41" s="374">
        <f t="shared" si="46"/>
        <v>2061.7020623999997</v>
      </c>
      <c r="S41" s="373">
        <f t="shared" si="55"/>
        <v>10659.9026815408</v>
      </c>
      <c r="T41" s="373">
        <f t="shared" si="56"/>
        <v>25617.020623999997</v>
      </c>
      <c r="U41" s="374">
        <f>H41*0.2</f>
        <v>2561.7020623999997</v>
      </c>
      <c r="V41" s="373">
        <f t="shared" si="57"/>
        <v>10159.9026815408</v>
      </c>
      <c r="W41" s="373">
        <f t="shared" si="58"/>
        <v>38425.530935999996</v>
      </c>
      <c r="X41" s="376">
        <f t="shared" si="86"/>
        <v>3501.4892279199998</v>
      </c>
      <c r="Y41" s="373">
        <f t="shared" si="59"/>
        <v>9220.1155160208</v>
      </c>
      <c r="Z41" s="373">
        <f t="shared" si="60"/>
        <v>51234.041247999994</v>
      </c>
      <c r="AA41" s="376">
        <f t="shared" si="83"/>
        <v>3458.2977842400001</v>
      </c>
      <c r="AB41" s="373">
        <f t="shared" si="61"/>
        <v>9263.3069597007998</v>
      </c>
      <c r="AC41" s="373">
        <f t="shared" si="62"/>
        <v>64042.551559999993</v>
      </c>
      <c r="AD41" s="376">
        <f t="shared" si="49"/>
        <v>3458.2977842400001</v>
      </c>
      <c r="AE41" s="373">
        <f t="shared" si="63"/>
        <v>9263.3069597007998</v>
      </c>
      <c r="AF41" s="373">
        <f t="shared" si="64"/>
        <v>76851.061871999991</v>
      </c>
      <c r="AG41" s="376">
        <f t="shared" si="87"/>
        <v>3458.2977842400001</v>
      </c>
      <c r="AH41" s="373">
        <f t="shared" si="66"/>
        <v>9263.3069597007998</v>
      </c>
      <c r="AI41" s="373">
        <f t="shared" si="67"/>
        <v>89659.57218399999</v>
      </c>
      <c r="AJ41" s="376">
        <f>H41*0.27</f>
        <v>3458.2977842400001</v>
      </c>
      <c r="AK41" s="373">
        <f t="shared" si="68"/>
        <v>9263.3069597007998</v>
      </c>
      <c r="AL41" s="373">
        <f t="shared" si="69"/>
        <v>102468.08249599999</v>
      </c>
      <c r="AM41" s="377">
        <f>(AL41-88000)*0.35+(88000-AI41)*0.27</f>
        <v>4615.7443839199987</v>
      </c>
      <c r="AN41" s="373">
        <f t="shared" si="70"/>
        <v>8105.8603600208007</v>
      </c>
      <c r="AO41" s="373">
        <f t="shared" si="71"/>
        <v>115276.59280799999</v>
      </c>
      <c r="AP41" s="377">
        <f>H41*0.35</f>
        <v>4482.9786091999995</v>
      </c>
      <c r="AQ41" s="373">
        <f t="shared" si="72"/>
        <v>8238.6261347407999</v>
      </c>
      <c r="AR41" s="373">
        <f t="shared" si="73"/>
        <v>128085.10311999999</v>
      </c>
      <c r="AS41" s="377">
        <f>H41*0.35</f>
        <v>4482.9786091999995</v>
      </c>
      <c r="AT41" s="373">
        <f t="shared" si="74"/>
        <v>8238.6261347407999</v>
      </c>
      <c r="AU41" s="373">
        <f t="shared" si="75"/>
        <v>140893.61343199998</v>
      </c>
      <c r="AV41" s="377">
        <f t="shared" si="84"/>
        <v>4482.9786091999995</v>
      </c>
      <c r="AW41" s="373">
        <f t="shared" si="76"/>
        <v>8238.6261347407999</v>
      </c>
      <c r="AX41" s="373">
        <f t="shared" si="77"/>
        <v>153702.12374399998</v>
      </c>
      <c r="AY41" s="377">
        <f t="shared" si="85"/>
        <v>4482.9786091999995</v>
      </c>
      <c r="AZ41" s="373">
        <f t="shared" si="52"/>
        <v>8238.6261347407999</v>
      </c>
      <c r="BA41" s="292"/>
      <c r="BC41" s="358"/>
    </row>
    <row r="42" spans="1:55" ht="45.75" customHeight="1" x14ac:dyDescent="0.45">
      <c r="A42" s="762"/>
      <c r="B42" s="409" t="s">
        <v>237</v>
      </c>
      <c r="C42" s="410">
        <v>450</v>
      </c>
      <c r="D42" s="411">
        <v>4996.0199999999995</v>
      </c>
      <c r="E42" s="411">
        <v>14988.06</v>
      </c>
      <c r="F42" s="411">
        <v>19984.079999999998</v>
      </c>
      <c r="G42" s="537">
        <v>359</v>
      </c>
      <c r="H42" s="538">
        <v>11258.744907999999</v>
      </c>
      <c r="I42" s="544">
        <v>0.47</v>
      </c>
      <c r="J42" s="455">
        <v>8000</v>
      </c>
      <c r="K42" s="452">
        <v>8075.6737404738642</v>
      </c>
      <c r="L42" s="390">
        <v>7803.7321784010674</v>
      </c>
      <c r="M42" s="390">
        <f t="shared" si="44"/>
        <v>-271.94156207279684</v>
      </c>
      <c r="N42" s="390"/>
      <c r="O42" s="390">
        <f t="shared" si="53"/>
        <v>8591.1422770998561</v>
      </c>
      <c r="P42" s="372">
        <f t="shared" si="45"/>
        <v>76.677116392799988</v>
      </c>
      <c r="Q42" s="373">
        <f t="shared" si="54"/>
        <v>11258.744907999999</v>
      </c>
      <c r="R42" s="374">
        <f t="shared" si="46"/>
        <v>1751.7489815999998</v>
      </c>
      <c r="S42" s="373">
        <f t="shared" si="55"/>
        <v>9430.3188100071984</v>
      </c>
      <c r="T42" s="373">
        <f t="shared" si="56"/>
        <v>22517.489815999998</v>
      </c>
      <c r="U42" s="374">
        <f>H42*0.2</f>
        <v>2251.7489815999998</v>
      </c>
      <c r="V42" s="373">
        <f t="shared" si="57"/>
        <v>8930.3188100071984</v>
      </c>
      <c r="W42" s="373">
        <f t="shared" si="58"/>
        <v>33776.234723999994</v>
      </c>
      <c r="X42" s="376">
        <f t="shared" si="86"/>
        <v>2866.0854122799992</v>
      </c>
      <c r="Y42" s="373">
        <f t="shared" si="59"/>
        <v>8315.9823793271989</v>
      </c>
      <c r="Z42" s="373">
        <f t="shared" si="60"/>
        <v>45034.979631999995</v>
      </c>
      <c r="AA42" s="376">
        <f t="shared" si="83"/>
        <v>3039.86112516</v>
      </c>
      <c r="AB42" s="373">
        <f t="shared" si="61"/>
        <v>8142.2066664471986</v>
      </c>
      <c r="AC42" s="373">
        <f t="shared" si="62"/>
        <v>56293.724539999996</v>
      </c>
      <c r="AD42" s="376">
        <f t="shared" si="49"/>
        <v>3039.86112516</v>
      </c>
      <c r="AE42" s="373">
        <f t="shared" si="63"/>
        <v>8142.2066664471986</v>
      </c>
      <c r="AF42" s="373">
        <f t="shared" si="64"/>
        <v>67552.469447999989</v>
      </c>
      <c r="AG42" s="376">
        <f t="shared" si="87"/>
        <v>3039.86112516</v>
      </c>
      <c r="AH42" s="373">
        <f t="shared" si="66"/>
        <v>8142.2066664471986</v>
      </c>
      <c r="AI42" s="373">
        <f t="shared" si="67"/>
        <v>78811.214355999997</v>
      </c>
      <c r="AJ42" s="376">
        <f t="shared" ref="AJ42:AJ52" si="88">H42*0.27</f>
        <v>3039.86112516</v>
      </c>
      <c r="AK42" s="373">
        <f t="shared" si="68"/>
        <v>8142.2066664471986</v>
      </c>
      <c r="AL42" s="373">
        <f t="shared" si="69"/>
        <v>90069.95926399999</v>
      </c>
      <c r="AM42" s="376">
        <f>H42*0.27</f>
        <v>3039.86112516</v>
      </c>
      <c r="AN42" s="373">
        <f t="shared" si="70"/>
        <v>8142.2066664471986</v>
      </c>
      <c r="AO42" s="373">
        <f t="shared" si="71"/>
        <v>101328.70417199998</v>
      </c>
      <c r="AP42" s="377">
        <f>(AO42-88000)*0.35+(88000-AL42)*0.27</f>
        <v>4106.1574589199963</v>
      </c>
      <c r="AQ42" s="373">
        <f t="shared" si="72"/>
        <v>7075.9103326872018</v>
      </c>
      <c r="AR42" s="373">
        <f t="shared" si="73"/>
        <v>112587.44907999999</v>
      </c>
      <c r="AS42" s="377">
        <f>H42*0.35</f>
        <v>3940.5607177999991</v>
      </c>
      <c r="AT42" s="373">
        <f t="shared" si="74"/>
        <v>7241.507073807199</v>
      </c>
      <c r="AU42" s="373">
        <f t="shared" si="75"/>
        <v>123846.19398799998</v>
      </c>
      <c r="AV42" s="377">
        <f t="shared" si="84"/>
        <v>3940.5607177999991</v>
      </c>
      <c r="AW42" s="373">
        <f t="shared" si="76"/>
        <v>7241.507073807199</v>
      </c>
      <c r="AX42" s="373">
        <f t="shared" si="77"/>
        <v>135104.93889599998</v>
      </c>
      <c r="AY42" s="377">
        <f t="shared" si="85"/>
        <v>3940.5607177999991</v>
      </c>
      <c r="AZ42" s="373">
        <f t="shared" si="52"/>
        <v>7241.507073807199</v>
      </c>
      <c r="BA42" s="292"/>
      <c r="BC42" s="358"/>
    </row>
    <row r="43" spans="1:55" ht="45.75" customHeight="1" x14ac:dyDescent="0.45">
      <c r="A43" s="762"/>
      <c r="B43" s="409" t="s">
        <v>225</v>
      </c>
      <c r="C43" s="410">
        <v>450</v>
      </c>
      <c r="D43" s="411">
        <v>4996.0199999999995</v>
      </c>
      <c r="E43" s="411">
        <v>14988.06</v>
      </c>
      <c r="F43" s="411">
        <v>19984.079999999998</v>
      </c>
      <c r="G43" s="537">
        <v>359</v>
      </c>
      <c r="H43" s="538">
        <v>9568.0917399999998</v>
      </c>
      <c r="I43" s="544">
        <v>0.35</v>
      </c>
      <c r="J43" s="455">
        <v>7000</v>
      </c>
      <c r="K43" s="452">
        <v>6987.907492182665</v>
      </c>
      <c r="L43" s="390">
        <v>6897.2603048250676</v>
      </c>
      <c r="M43" s="390">
        <f t="shared" si="44"/>
        <v>-90.647187357597431</v>
      </c>
      <c r="N43" s="390"/>
      <c r="O43" s="390">
        <f t="shared" si="53"/>
        <v>7433.9441406198566</v>
      </c>
      <c r="P43" s="372">
        <f t="shared" si="45"/>
        <v>65.518805483999998</v>
      </c>
      <c r="Q43" s="373">
        <f t="shared" si="54"/>
        <v>9568.0917399999998</v>
      </c>
      <c r="R43" s="378">
        <f t="shared" ref="R43:R54" si="89">Q43*0.15</f>
        <v>1435.213761</v>
      </c>
      <c r="S43" s="373">
        <f t="shared" si="55"/>
        <v>8067.3591735159998</v>
      </c>
      <c r="T43" s="373">
        <f t="shared" si="56"/>
        <v>19136.18348</v>
      </c>
      <c r="U43" s="374">
        <f t="shared" ref="U43:U51" si="90">(T43-10000)*0.2+(10000-Q43)*0.15</f>
        <v>1892.022935</v>
      </c>
      <c r="V43" s="373">
        <f t="shared" si="57"/>
        <v>7610.5499995159998</v>
      </c>
      <c r="W43" s="373">
        <f t="shared" si="58"/>
        <v>28704.27522</v>
      </c>
      <c r="X43" s="376">
        <f t="shared" si="86"/>
        <v>2172.9176133999999</v>
      </c>
      <c r="Y43" s="373">
        <f t="shared" si="59"/>
        <v>7329.6553211159999</v>
      </c>
      <c r="Z43" s="373">
        <f t="shared" si="60"/>
        <v>38272.366959999999</v>
      </c>
      <c r="AA43" s="376">
        <f t="shared" si="83"/>
        <v>2583.3847698</v>
      </c>
      <c r="AB43" s="373">
        <f t="shared" si="61"/>
        <v>6919.1881647159998</v>
      </c>
      <c r="AC43" s="373">
        <f t="shared" si="62"/>
        <v>47840.458700000003</v>
      </c>
      <c r="AD43" s="376">
        <f t="shared" si="49"/>
        <v>2583.3847698</v>
      </c>
      <c r="AE43" s="373">
        <f t="shared" si="63"/>
        <v>6919.1881647159998</v>
      </c>
      <c r="AF43" s="373">
        <f t="shared" si="64"/>
        <v>57408.550439999999</v>
      </c>
      <c r="AG43" s="376">
        <f t="shared" si="87"/>
        <v>2583.3847698</v>
      </c>
      <c r="AH43" s="373">
        <f t="shared" si="66"/>
        <v>6919.1881647159998</v>
      </c>
      <c r="AI43" s="373">
        <f t="shared" si="67"/>
        <v>66976.642179999995</v>
      </c>
      <c r="AJ43" s="376">
        <f t="shared" si="88"/>
        <v>2583.3847698</v>
      </c>
      <c r="AK43" s="373">
        <f t="shared" si="68"/>
        <v>6919.1881647159998</v>
      </c>
      <c r="AL43" s="373">
        <f t="shared" si="69"/>
        <v>76544.733919999999</v>
      </c>
      <c r="AM43" s="376">
        <f t="shared" ref="AM43:AM54" si="91">H43*0.27</f>
        <v>2583.3847698</v>
      </c>
      <c r="AN43" s="373">
        <f t="shared" si="70"/>
        <v>6919.1881647159998</v>
      </c>
      <c r="AO43" s="373">
        <f t="shared" si="71"/>
        <v>86112.825660000002</v>
      </c>
      <c r="AP43" s="376">
        <f>H43*0.27</f>
        <v>2583.3847698</v>
      </c>
      <c r="AQ43" s="373">
        <f t="shared" si="72"/>
        <v>6919.1881647159998</v>
      </c>
      <c r="AR43" s="373">
        <f t="shared" si="73"/>
        <v>95680.917400000006</v>
      </c>
      <c r="AS43" s="377">
        <f>(AR43-88000)*0.35+(88000-AO43)*0.27</f>
        <v>3197.8581618000012</v>
      </c>
      <c r="AT43" s="373">
        <f t="shared" si="74"/>
        <v>6304.7147727159991</v>
      </c>
      <c r="AU43" s="373">
        <f t="shared" si="75"/>
        <v>105249.00913999999</v>
      </c>
      <c r="AV43" s="377">
        <f t="shared" si="84"/>
        <v>3348.8321089999999</v>
      </c>
      <c r="AW43" s="373">
        <f t="shared" si="76"/>
        <v>6153.7408255159999</v>
      </c>
      <c r="AX43" s="373">
        <f t="shared" si="77"/>
        <v>114817.10088</v>
      </c>
      <c r="AY43" s="377">
        <f t="shared" si="85"/>
        <v>3348.8321089999999</v>
      </c>
      <c r="AZ43" s="373">
        <f t="shared" si="52"/>
        <v>6153.7408255159999</v>
      </c>
      <c r="BA43" s="292"/>
      <c r="BC43" s="358"/>
    </row>
    <row r="44" spans="1:55" ht="45.75" customHeight="1" x14ac:dyDescent="0.45">
      <c r="A44" s="762"/>
      <c r="B44" s="409" t="s">
        <v>243</v>
      </c>
      <c r="C44" s="410">
        <v>450</v>
      </c>
      <c r="D44" s="411">
        <v>4996.0199999999995</v>
      </c>
      <c r="E44" s="411">
        <v>14988.06</v>
      </c>
      <c r="F44" s="411">
        <v>19984.079999999998</v>
      </c>
      <c r="G44" s="537">
        <v>359</v>
      </c>
      <c r="H44" s="538">
        <v>9145.4284479999988</v>
      </c>
      <c r="I44" s="544">
        <v>0.32</v>
      </c>
      <c r="J44" s="455">
        <v>6700</v>
      </c>
      <c r="K44" s="452">
        <v>6715.9659301098663</v>
      </c>
      <c r="L44" s="390">
        <v>6625.3187427522671</v>
      </c>
      <c r="M44" s="390">
        <f t="shared" si="44"/>
        <v>-90.64718735759925</v>
      </c>
      <c r="N44" s="390"/>
      <c r="O44" s="390">
        <f t="shared" si="53"/>
        <v>7144.6446064998581</v>
      </c>
      <c r="P44" s="372">
        <f t="shared" si="45"/>
        <v>62.729227756799993</v>
      </c>
      <c r="Q44" s="373">
        <f t="shared" si="54"/>
        <v>9145.4284479999988</v>
      </c>
      <c r="R44" s="378">
        <f t="shared" si="89"/>
        <v>1371.8142671999997</v>
      </c>
      <c r="S44" s="373">
        <f t="shared" si="55"/>
        <v>7710.8849530431999</v>
      </c>
      <c r="T44" s="373">
        <f t="shared" si="56"/>
        <v>18290.856895999998</v>
      </c>
      <c r="U44" s="374">
        <f t="shared" si="90"/>
        <v>1786.3571119999997</v>
      </c>
      <c r="V44" s="373">
        <f t="shared" si="57"/>
        <v>7296.3421082431996</v>
      </c>
      <c r="W44" s="373">
        <f t="shared" si="58"/>
        <v>27436.285343999996</v>
      </c>
      <c r="X44" s="376">
        <f t="shared" si="86"/>
        <v>1999.6256636799997</v>
      </c>
      <c r="Y44" s="373">
        <f t="shared" si="59"/>
        <v>7083.0735565631994</v>
      </c>
      <c r="Z44" s="373">
        <f t="shared" si="60"/>
        <v>36581.713791999995</v>
      </c>
      <c r="AA44" s="376">
        <f t="shared" si="83"/>
        <v>2469.2656809599998</v>
      </c>
      <c r="AB44" s="373">
        <f t="shared" si="61"/>
        <v>6613.4335392831999</v>
      </c>
      <c r="AC44" s="373">
        <f t="shared" si="62"/>
        <v>45727.142239999994</v>
      </c>
      <c r="AD44" s="376">
        <f t="shared" si="49"/>
        <v>2469.2656809599998</v>
      </c>
      <c r="AE44" s="373">
        <f t="shared" si="63"/>
        <v>6613.4335392831999</v>
      </c>
      <c r="AF44" s="373">
        <f t="shared" si="64"/>
        <v>54872.570687999993</v>
      </c>
      <c r="AG44" s="376">
        <f t="shared" si="87"/>
        <v>2469.2656809599998</v>
      </c>
      <c r="AH44" s="373">
        <f t="shared" si="66"/>
        <v>6613.4335392831999</v>
      </c>
      <c r="AI44" s="373">
        <f t="shared" si="67"/>
        <v>64017.999135999991</v>
      </c>
      <c r="AJ44" s="376">
        <f t="shared" si="88"/>
        <v>2469.2656809599998</v>
      </c>
      <c r="AK44" s="373">
        <f t="shared" si="68"/>
        <v>6613.4335392831999</v>
      </c>
      <c r="AL44" s="373">
        <f t="shared" si="69"/>
        <v>73163.42758399999</v>
      </c>
      <c r="AM44" s="376">
        <f t="shared" si="91"/>
        <v>2469.2656809599998</v>
      </c>
      <c r="AN44" s="373">
        <f t="shared" si="70"/>
        <v>6613.4335392831999</v>
      </c>
      <c r="AO44" s="373">
        <f t="shared" si="71"/>
        <v>82308.856031999981</v>
      </c>
      <c r="AP44" s="376">
        <f>H44*0.27</f>
        <v>2469.2656809599998</v>
      </c>
      <c r="AQ44" s="373">
        <f t="shared" si="72"/>
        <v>6613.4335392831999</v>
      </c>
      <c r="AR44" s="373">
        <f t="shared" si="73"/>
        <v>91454.284479999988</v>
      </c>
      <c r="AS44" s="377">
        <f>(AR44-88000)*0.35+(88000-AO44)*0.27</f>
        <v>2745.6084393600008</v>
      </c>
      <c r="AT44" s="373">
        <f t="shared" si="74"/>
        <v>6337.090780883198</v>
      </c>
      <c r="AU44" s="373">
        <f t="shared" si="75"/>
        <v>100599.71292799999</v>
      </c>
      <c r="AV44" s="377">
        <f t="shared" si="84"/>
        <v>3200.8999567999995</v>
      </c>
      <c r="AW44" s="373">
        <f t="shared" si="76"/>
        <v>5881.7992634431994</v>
      </c>
      <c r="AX44" s="373">
        <f t="shared" si="77"/>
        <v>109745.14137599999</v>
      </c>
      <c r="AY44" s="377">
        <f t="shared" si="85"/>
        <v>3200.8999567999995</v>
      </c>
      <c r="AZ44" s="373">
        <f t="shared" si="52"/>
        <v>5881.7992634431994</v>
      </c>
      <c r="BA44" s="292"/>
      <c r="BC44" s="358"/>
    </row>
    <row r="45" spans="1:55" ht="45.75" customHeight="1" x14ac:dyDescent="0.45">
      <c r="A45" s="762"/>
      <c r="B45" s="418" t="s">
        <v>226</v>
      </c>
      <c r="C45" s="406">
        <v>200</v>
      </c>
      <c r="D45" s="419">
        <v>4996.0199999999995</v>
      </c>
      <c r="E45" s="419">
        <v>6661.36</v>
      </c>
      <c r="F45" s="419">
        <v>11657.38</v>
      </c>
      <c r="G45" s="537">
        <v>359</v>
      </c>
      <c r="H45" s="538">
        <v>9333.2788</v>
      </c>
      <c r="I45" s="544">
        <v>0.75</v>
      </c>
      <c r="J45" s="455">
        <v>6800</v>
      </c>
      <c r="K45" s="452">
        <v>6836.8288465866681</v>
      </c>
      <c r="L45" s="390">
        <v>6756.2535689354663</v>
      </c>
      <c r="M45" s="390">
        <f t="shared" si="44"/>
        <v>-80.575277651201759</v>
      </c>
      <c r="N45" s="390"/>
      <c r="O45" s="390">
        <f t="shared" si="53"/>
        <v>7273.22217721986</v>
      </c>
      <c r="P45" s="372">
        <f t="shared" si="45"/>
        <v>63.969040079999999</v>
      </c>
      <c r="Q45" s="373">
        <f t="shared" si="54"/>
        <v>9333.2788</v>
      </c>
      <c r="R45" s="378">
        <f t="shared" si="89"/>
        <v>1399.99182</v>
      </c>
      <c r="S45" s="373">
        <f t="shared" si="55"/>
        <v>7869.3179399200008</v>
      </c>
      <c r="T45" s="373">
        <f t="shared" si="56"/>
        <v>18666.5576</v>
      </c>
      <c r="U45" s="374">
        <f t="shared" si="90"/>
        <v>1833.3197000000002</v>
      </c>
      <c r="V45" s="373">
        <f t="shared" si="57"/>
        <v>7435.9900599200009</v>
      </c>
      <c r="W45" s="373">
        <f t="shared" si="58"/>
        <v>27999.8364</v>
      </c>
      <c r="X45" s="376">
        <f t="shared" si="86"/>
        <v>2076.6443079999999</v>
      </c>
      <c r="Y45" s="373">
        <f t="shared" si="59"/>
        <v>7192.665451920001</v>
      </c>
      <c r="Z45" s="373">
        <f t="shared" si="60"/>
        <v>37333.1152</v>
      </c>
      <c r="AA45" s="376">
        <f t="shared" si="83"/>
        <v>2519.9852760000003</v>
      </c>
      <c r="AB45" s="373">
        <f t="shared" si="61"/>
        <v>6749.3244839200006</v>
      </c>
      <c r="AC45" s="373">
        <f t="shared" si="62"/>
        <v>46666.394</v>
      </c>
      <c r="AD45" s="376">
        <f t="shared" si="49"/>
        <v>2519.9852760000003</v>
      </c>
      <c r="AE45" s="373">
        <f t="shared" si="63"/>
        <v>6749.3244839200006</v>
      </c>
      <c r="AF45" s="373">
        <f t="shared" si="64"/>
        <v>55999.6728</v>
      </c>
      <c r="AG45" s="376">
        <f t="shared" si="87"/>
        <v>2519.9852760000003</v>
      </c>
      <c r="AH45" s="373">
        <f t="shared" si="66"/>
        <v>6749.3244839200006</v>
      </c>
      <c r="AI45" s="373">
        <f t="shared" si="67"/>
        <v>65332.9516</v>
      </c>
      <c r="AJ45" s="376">
        <f t="shared" si="88"/>
        <v>2519.9852760000003</v>
      </c>
      <c r="AK45" s="373">
        <f t="shared" si="68"/>
        <v>6749.3244839200006</v>
      </c>
      <c r="AL45" s="373">
        <f t="shared" si="69"/>
        <v>74666.2304</v>
      </c>
      <c r="AM45" s="376">
        <f t="shared" si="91"/>
        <v>2519.9852760000003</v>
      </c>
      <c r="AN45" s="373">
        <f t="shared" si="70"/>
        <v>6749.3244839200006</v>
      </c>
      <c r="AO45" s="373">
        <f t="shared" si="71"/>
        <v>83999.5092</v>
      </c>
      <c r="AP45" s="376">
        <f>H45*0.27</f>
        <v>2519.9852760000003</v>
      </c>
      <c r="AQ45" s="373">
        <f t="shared" si="72"/>
        <v>6749.3244839200006</v>
      </c>
      <c r="AR45" s="373">
        <f t="shared" si="73"/>
        <v>93332.788</v>
      </c>
      <c r="AS45" s="377">
        <f>(AR45-88000)*0.35+(88000-AO45)*0.27</f>
        <v>2946.6083159999998</v>
      </c>
      <c r="AT45" s="373">
        <f t="shared" si="74"/>
        <v>6322.7014439200011</v>
      </c>
      <c r="AU45" s="373">
        <f t="shared" si="75"/>
        <v>102666.0668</v>
      </c>
      <c r="AV45" s="377">
        <f t="shared" si="84"/>
        <v>3266.6475799999998</v>
      </c>
      <c r="AW45" s="373">
        <f t="shared" si="76"/>
        <v>6002.6621799200011</v>
      </c>
      <c r="AX45" s="373">
        <f t="shared" si="77"/>
        <v>111999.3456</v>
      </c>
      <c r="AY45" s="377">
        <f t="shared" si="85"/>
        <v>3266.6475799999998</v>
      </c>
      <c r="AZ45" s="373">
        <f t="shared" si="52"/>
        <v>6002.6621799200011</v>
      </c>
      <c r="BA45" s="292"/>
      <c r="BC45" s="358"/>
    </row>
    <row r="46" spans="1:55" ht="45.75" customHeight="1" x14ac:dyDescent="0.45">
      <c r="A46" s="762"/>
      <c r="B46" s="418" t="s">
        <v>227</v>
      </c>
      <c r="C46" s="406">
        <v>200</v>
      </c>
      <c r="D46" s="419">
        <v>4996.0199999999995</v>
      </c>
      <c r="E46" s="419">
        <v>6661.36</v>
      </c>
      <c r="F46" s="419">
        <v>11657.38</v>
      </c>
      <c r="G46" s="537">
        <v>359</v>
      </c>
      <c r="H46" s="538">
        <v>8080.9431199999999</v>
      </c>
      <c r="I46" s="544">
        <v>0.55000000000000004</v>
      </c>
      <c r="J46" s="455">
        <v>6000</v>
      </c>
      <c r="K46" s="452">
        <v>6025.1402412746656</v>
      </c>
      <c r="L46" s="390">
        <v>6025.1402412746656</v>
      </c>
      <c r="M46" s="390">
        <f t="shared" si="44"/>
        <v>0</v>
      </c>
      <c r="N46" s="390"/>
      <c r="O46" s="390">
        <f t="shared" si="53"/>
        <v>6409.7236609304955</v>
      </c>
      <c r="P46" s="372">
        <f t="shared" si="45"/>
        <v>55.703624591999997</v>
      </c>
      <c r="Q46" s="373">
        <f t="shared" si="54"/>
        <v>8080.9431199999999</v>
      </c>
      <c r="R46" s="378">
        <f t="shared" si="89"/>
        <v>1212.141468</v>
      </c>
      <c r="S46" s="373">
        <f t="shared" si="55"/>
        <v>6813.0980274080002</v>
      </c>
      <c r="T46" s="373">
        <f t="shared" si="56"/>
        <v>16161.88624</v>
      </c>
      <c r="U46" s="374">
        <f t="shared" si="90"/>
        <v>1520.23578</v>
      </c>
      <c r="V46" s="373">
        <f t="shared" si="57"/>
        <v>6505.0037154080001</v>
      </c>
      <c r="W46" s="373">
        <f t="shared" si="58"/>
        <v>24242.82936</v>
      </c>
      <c r="X46" s="374">
        <f>H46*0.2</f>
        <v>1616.1886240000001</v>
      </c>
      <c r="Y46" s="373">
        <f t="shared" si="59"/>
        <v>6409.0508714079997</v>
      </c>
      <c r="Z46" s="373">
        <f t="shared" si="60"/>
        <v>32323.77248</v>
      </c>
      <c r="AA46" s="376">
        <f>(Z46-25000)*0.27+(25000-W46)*0.2</f>
        <v>2128.8526975999998</v>
      </c>
      <c r="AB46" s="373">
        <f t="shared" si="61"/>
        <v>5896.3867978079998</v>
      </c>
      <c r="AC46" s="373">
        <f t="shared" si="62"/>
        <v>40404.715599999996</v>
      </c>
      <c r="AD46" s="376">
        <f t="shared" si="49"/>
        <v>2181.8546424000001</v>
      </c>
      <c r="AE46" s="373">
        <f t="shared" si="63"/>
        <v>5843.3848530079995</v>
      </c>
      <c r="AF46" s="373">
        <f t="shared" si="64"/>
        <v>48485.658719999999</v>
      </c>
      <c r="AG46" s="376">
        <f t="shared" si="87"/>
        <v>2181.8546424000001</v>
      </c>
      <c r="AH46" s="373">
        <f t="shared" si="66"/>
        <v>5843.3848530079995</v>
      </c>
      <c r="AI46" s="373">
        <f t="shared" si="67"/>
        <v>56566.601840000003</v>
      </c>
      <c r="AJ46" s="376">
        <f t="shared" si="88"/>
        <v>2181.8546424000001</v>
      </c>
      <c r="AK46" s="373">
        <f t="shared" si="68"/>
        <v>5843.3848530079995</v>
      </c>
      <c r="AL46" s="373">
        <f t="shared" si="69"/>
        <v>64647.544959999999</v>
      </c>
      <c r="AM46" s="376">
        <f t="shared" si="91"/>
        <v>2181.8546424000001</v>
      </c>
      <c r="AN46" s="373">
        <f t="shared" si="70"/>
        <v>5843.3848530079995</v>
      </c>
      <c r="AO46" s="373">
        <f t="shared" si="71"/>
        <v>72728.488079999996</v>
      </c>
      <c r="AP46" s="376">
        <f>H46*0.27</f>
        <v>2181.8546424000001</v>
      </c>
      <c r="AQ46" s="373">
        <f t="shared" si="72"/>
        <v>5843.3848530079995</v>
      </c>
      <c r="AR46" s="373">
        <f t="shared" si="73"/>
        <v>80809.431199999992</v>
      </c>
      <c r="AS46" s="376">
        <f>H46*0.27</f>
        <v>2181.8546424000001</v>
      </c>
      <c r="AT46" s="373">
        <f t="shared" si="74"/>
        <v>5843.3848530079995</v>
      </c>
      <c r="AU46" s="373">
        <f t="shared" si="75"/>
        <v>88890.374320000003</v>
      </c>
      <c r="AV46" s="377">
        <f>(AU46-88000)*0.35+(88000-AR46)*0.27</f>
        <v>2253.0845880000034</v>
      </c>
      <c r="AW46" s="373">
        <f t="shared" si="76"/>
        <v>5772.1549074079967</v>
      </c>
      <c r="AX46" s="373">
        <f t="shared" si="77"/>
        <v>96971.317439999999</v>
      </c>
      <c r="AY46" s="377">
        <f>(AX46-88000)*0.35+(88000-AU46)*0.27</f>
        <v>2899.5600375999989</v>
      </c>
      <c r="AZ46" s="373">
        <f t="shared" si="52"/>
        <v>5125.6794578080007</v>
      </c>
      <c r="BA46" s="292"/>
      <c r="BC46" s="358"/>
    </row>
    <row r="47" spans="1:55" ht="45.75" customHeight="1" x14ac:dyDescent="0.45">
      <c r="A47" s="763" t="s">
        <v>31</v>
      </c>
      <c r="B47" s="432" t="s">
        <v>32</v>
      </c>
      <c r="C47" s="433">
        <v>270</v>
      </c>
      <c r="D47" s="411">
        <v>4996.0199999999995</v>
      </c>
      <c r="E47" s="411">
        <v>8992.8359999999993</v>
      </c>
      <c r="F47" s="411">
        <v>13988.856</v>
      </c>
      <c r="G47" s="537">
        <v>359</v>
      </c>
      <c r="H47" s="538">
        <v>10131.642795999998</v>
      </c>
      <c r="I47" s="544">
        <v>0.65</v>
      </c>
      <c r="J47" s="455">
        <v>7351</v>
      </c>
      <c r="K47" s="452">
        <v>7350.4962416130656</v>
      </c>
      <c r="L47" s="390">
        <v>7187.3313043693861</v>
      </c>
      <c r="M47" s="390">
        <f t="shared" si="44"/>
        <v>-163.16493724367956</v>
      </c>
      <c r="N47" s="390"/>
      <c r="O47" s="390">
        <f t="shared" si="53"/>
        <v>7819.6768527798577</v>
      </c>
      <c r="P47" s="372">
        <f t="shared" si="45"/>
        <v>69.238242453599995</v>
      </c>
      <c r="Q47" s="373">
        <f t="shared" si="54"/>
        <v>10131.642795999998</v>
      </c>
      <c r="R47" s="378">
        <f t="shared" si="89"/>
        <v>1519.7464193999997</v>
      </c>
      <c r="S47" s="373">
        <f t="shared" si="55"/>
        <v>8542.6581341463971</v>
      </c>
      <c r="T47" s="373">
        <f t="shared" si="56"/>
        <v>20263.285591999997</v>
      </c>
      <c r="U47" s="374">
        <f t="shared" si="90"/>
        <v>2032.9106989999998</v>
      </c>
      <c r="V47" s="373">
        <f t="shared" si="57"/>
        <v>8029.4938545463974</v>
      </c>
      <c r="W47" s="373">
        <f t="shared" si="58"/>
        <v>30394.928387999993</v>
      </c>
      <c r="X47" s="376">
        <f>(W47-25000)*0.27+(25000-T47)*0.2</f>
        <v>2403.9735463599991</v>
      </c>
      <c r="Y47" s="373">
        <f t="shared" si="59"/>
        <v>7658.4310071863983</v>
      </c>
      <c r="Z47" s="373">
        <f t="shared" si="60"/>
        <v>40526.571183999993</v>
      </c>
      <c r="AA47" s="376">
        <f>H47*0.27</f>
        <v>2735.5435549199997</v>
      </c>
      <c r="AB47" s="373">
        <f t="shared" si="61"/>
        <v>7326.8609986263982</v>
      </c>
      <c r="AC47" s="373">
        <f t="shared" si="62"/>
        <v>50658.213979999993</v>
      </c>
      <c r="AD47" s="376">
        <f t="shared" si="49"/>
        <v>2735.5435549199997</v>
      </c>
      <c r="AE47" s="373">
        <f t="shared" si="63"/>
        <v>7326.8609986263982</v>
      </c>
      <c r="AF47" s="373">
        <f t="shared" si="64"/>
        <v>60789.856775999986</v>
      </c>
      <c r="AG47" s="376">
        <f t="shared" si="87"/>
        <v>2735.5435549199997</v>
      </c>
      <c r="AH47" s="373">
        <f t="shared" si="66"/>
        <v>7326.8609986263982</v>
      </c>
      <c r="AI47" s="373">
        <f t="shared" si="67"/>
        <v>70921.499571999986</v>
      </c>
      <c r="AJ47" s="376">
        <f t="shared" si="88"/>
        <v>2735.5435549199997</v>
      </c>
      <c r="AK47" s="373">
        <f t="shared" si="68"/>
        <v>7326.8609986263982</v>
      </c>
      <c r="AL47" s="373">
        <f t="shared" si="69"/>
        <v>81053.142367999986</v>
      </c>
      <c r="AM47" s="376">
        <f t="shared" si="91"/>
        <v>2735.5435549199997</v>
      </c>
      <c r="AN47" s="373">
        <f t="shared" si="70"/>
        <v>7326.8609986263982</v>
      </c>
      <c r="AO47" s="373">
        <f t="shared" si="71"/>
        <v>91184.785163999986</v>
      </c>
      <c r="AP47" s="377">
        <f>(AO47-88000)*0.35+(88000-AL47)*0.27</f>
        <v>2990.3263680399991</v>
      </c>
      <c r="AQ47" s="373">
        <f t="shared" si="72"/>
        <v>7072.0781855063979</v>
      </c>
      <c r="AR47" s="373">
        <f t="shared" si="73"/>
        <v>101316.42795999999</v>
      </c>
      <c r="AS47" s="377">
        <f>H47*0.35</f>
        <v>3546.0749785999992</v>
      </c>
      <c r="AT47" s="373">
        <f t="shared" si="74"/>
        <v>6516.3295749463978</v>
      </c>
      <c r="AU47" s="373">
        <f t="shared" si="75"/>
        <v>111448.07075599999</v>
      </c>
      <c r="AV47" s="377">
        <f>H47*0.35</f>
        <v>3546.0749785999992</v>
      </c>
      <c r="AW47" s="373">
        <f t="shared" si="76"/>
        <v>6516.3295749463978</v>
      </c>
      <c r="AX47" s="373">
        <f t="shared" si="77"/>
        <v>121579.71355199997</v>
      </c>
      <c r="AY47" s="377">
        <f>H47*0.35</f>
        <v>3546.0749785999992</v>
      </c>
      <c r="AZ47" s="373">
        <f t="shared" si="52"/>
        <v>6516.3295749463978</v>
      </c>
      <c r="BA47" s="292"/>
      <c r="BC47" s="358"/>
    </row>
    <row r="48" spans="1:55" ht="45.75" customHeight="1" x14ac:dyDescent="0.45">
      <c r="A48" s="763"/>
      <c r="B48" s="432" t="s">
        <v>225</v>
      </c>
      <c r="C48" s="433">
        <v>270</v>
      </c>
      <c r="D48" s="411">
        <v>4996.0199999999995</v>
      </c>
      <c r="E48" s="411">
        <v>8992.8359999999993</v>
      </c>
      <c r="F48" s="411">
        <v>13988.856</v>
      </c>
      <c r="G48" s="537">
        <v>359</v>
      </c>
      <c r="H48" s="538">
        <v>8018.3263359999983</v>
      </c>
      <c r="I48" s="544">
        <v>0.4</v>
      </c>
      <c r="J48" s="455">
        <v>6000</v>
      </c>
      <c r="K48" s="452">
        <v>5990.7884312490669</v>
      </c>
      <c r="L48" s="390">
        <v>5990.7884312490669</v>
      </c>
      <c r="M48" s="390">
        <f t="shared" si="44"/>
        <v>0</v>
      </c>
      <c r="N48" s="390"/>
      <c r="O48" s="390">
        <f t="shared" si="53"/>
        <v>6373.1791821798588</v>
      </c>
      <c r="P48" s="372">
        <f t="shared" si="45"/>
        <v>55.290353817599986</v>
      </c>
      <c r="Q48" s="373">
        <f t="shared" si="54"/>
        <v>8018.3263359999983</v>
      </c>
      <c r="R48" s="378">
        <f t="shared" si="89"/>
        <v>1202.7489503999998</v>
      </c>
      <c r="S48" s="373">
        <f t="shared" si="55"/>
        <v>6760.287031782399</v>
      </c>
      <c r="T48" s="373">
        <f t="shared" si="56"/>
        <v>16036.652671999997</v>
      </c>
      <c r="U48" s="374">
        <f t="shared" si="90"/>
        <v>1504.5815839999996</v>
      </c>
      <c r="V48" s="373">
        <f t="shared" si="57"/>
        <v>6458.454398182399</v>
      </c>
      <c r="W48" s="373">
        <f t="shared" si="58"/>
        <v>24054.979007999995</v>
      </c>
      <c r="X48" s="374">
        <f>H48*0.2</f>
        <v>1603.6652671999998</v>
      </c>
      <c r="Y48" s="373">
        <f t="shared" si="59"/>
        <v>6359.3707149823986</v>
      </c>
      <c r="Z48" s="373">
        <f t="shared" si="60"/>
        <v>32073.305343999993</v>
      </c>
      <c r="AA48" s="376">
        <f>(Z48-25000)*0.27+(25000-W48)*0.2</f>
        <v>2098.7966412799992</v>
      </c>
      <c r="AB48" s="373">
        <f t="shared" si="61"/>
        <v>5864.2393409023989</v>
      </c>
      <c r="AC48" s="373">
        <f t="shared" si="62"/>
        <v>40091.631679999991</v>
      </c>
      <c r="AD48" s="376">
        <f t="shared" si="49"/>
        <v>2164.9481107199995</v>
      </c>
      <c r="AE48" s="373">
        <f t="shared" si="63"/>
        <v>5798.0878714623996</v>
      </c>
      <c r="AF48" s="373">
        <f t="shared" si="64"/>
        <v>48109.95801599999</v>
      </c>
      <c r="AG48" s="376">
        <f t="shared" si="87"/>
        <v>2164.9481107199995</v>
      </c>
      <c r="AH48" s="373">
        <f t="shared" si="66"/>
        <v>5798.0878714623996</v>
      </c>
      <c r="AI48" s="373">
        <f t="shared" si="67"/>
        <v>56128.284351999988</v>
      </c>
      <c r="AJ48" s="376">
        <f t="shared" si="88"/>
        <v>2164.9481107199995</v>
      </c>
      <c r="AK48" s="373">
        <f t="shared" si="68"/>
        <v>5798.0878714623996</v>
      </c>
      <c r="AL48" s="373">
        <f t="shared" si="69"/>
        <v>64146.610687999986</v>
      </c>
      <c r="AM48" s="376">
        <f t="shared" si="91"/>
        <v>2164.9481107199995</v>
      </c>
      <c r="AN48" s="373">
        <f t="shared" si="70"/>
        <v>5798.0878714623996</v>
      </c>
      <c r="AO48" s="373">
        <f t="shared" si="71"/>
        <v>72164.937023999984</v>
      </c>
      <c r="AP48" s="376">
        <f t="shared" ref="AP48:AP54" si="92">H48*0.27</f>
        <v>2164.9481107199995</v>
      </c>
      <c r="AQ48" s="373">
        <f t="shared" si="72"/>
        <v>5798.0878714623996</v>
      </c>
      <c r="AR48" s="373">
        <f t="shared" si="73"/>
        <v>80183.263359999983</v>
      </c>
      <c r="AS48" s="376">
        <f>H48*0.27</f>
        <v>2164.9481107199995</v>
      </c>
      <c r="AT48" s="373">
        <f t="shared" si="74"/>
        <v>5798.0878714623996</v>
      </c>
      <c r="AU48" s="373">
        <f t="shared" si="75"/>
        <v>88201.589695999981</v>
      </c>
      <c r="AV48" s="377">
        <f>(AU48-88000)*0.35+(88000-AR48)*0.27</f>
        <v>2181.0752863999983</v>
      </c>
      <c r="AW48" s="373">
        <f t="shared" si="76"/>
        <v>5781.9606957823999</v>
      </c>
      <c r="AX48" s="373">
        <f t="shared" si="77"/>
        <v>96219.916031999979</v>
      </c>
      <c r="AY48" s="377">
        <f>H48*0.35</f>
        <v>2806.4142175999991</v>
      </c>
      <c r="AZ48" s="373">
        <f t="shared" si="52"/>
        <v>5156.6217645823999</v>
      </c>
      <c r="BA48" s="292"/>
      <c r="BC48" s="358"/>
    </row>
    <row r="49" spans="1:55" ht="45.75" customHeight="1" x14ac:dyDescent="0.45">
      <c r="A49" s="763"/>
      <c r="B49" s="434" t="s">
        <v>226</v>
      </c>
      <c r="C49" s="435">
        <v>180</v>
      </c>
      <c r="D49" s="419">
        <v>4996.0199999999995</v>
      </c>
      <c r="E49" s="419">
        <v>5995.2240000000002</v>
      </c>
      <c r="F49" s="419">
        <v>10991.243999999999</v>
      </c>
      <c r="G49" s="537">
        <v>359</v>
      </c>
      <c r="H49" s="538">
        <v>8243.7467584000005</v>
      </c>
      <c r="I49" s="544">
        <v>0.64</v>
      </c>
      <c r="J49" s="455">
        <v>6100</v>
      </c>
      <c r="K49" s="452">
        <v>6135.8239310212266</v>
      </c>
      <c r="L49" s="390">
        <v>6063.3061811351463</v>
      </c>
      <c r="M49" s="390">
        <f t="shared" si="44"/>
        <v>-72.51774988608031</v>
      </c>
      <c r="N49" s="390"/>
      <c r="O49" s="390">
        <f t="shared" si="53"/>
        <v>6527.4722670438587</v>
      </c>
      <c r="P49" s="372">
        <f t="shared" si="45"/>
        <v>56.778128605440003</v>
      </c>
      <c r="Q49" s="373">
        <f t="shared" si="54"/>
        <v>8243.7467584000005</v>
      </c>
      <c r="R49" s="378">
        <f t="shared" si="89"/>
        <v>1236.5620137600001</v>
      </c>
      <c r="S49" s="373">
        <f t="shared" si="55"/>
        <v>6950.406616034561</v>
      </c>
      <c r="T49" s="373">
        <f t="shared" si="56"/>
        <v>16487.493516800001</v>
      </c>
      <c r="U49" s="374">
        <f t="shared" si="90"/>
        <v>1560.9366896000001</v>
      </c>
      <c r="V49" s="373">
        <f t="shared" si="57"/>
        <v>6626.0319401945608</v>
      </c>
      <c r="W49" s="373">
        <f t="shared" si="58"/>
        <v>24731.240275200002</v>
      </c>
      <c r="X49" s="374">
        <f>H49*0.2</f>
        <v>1648.7493516800002</v>
      </c>
      <c r="Y49" s="373">
        <f t="shared" si="59"/>
        <v>6538.2192781145604</v>
      </c>
      <c r="Z49" s="373">
        <f t="shared" si="60"/>
        <v>32974.987033600002</v>
      </c>
      <c r="AA49" s="376">
        <f>(Z49-25000)*0.27+(25000-W49)*0.2</f>
        <v>2206.9984440320004</v>
      </c>
      <c r="AB49" s="373">
        <f t="shared" si="61"/>
        <v>5979.9701857625605</v>
      </c>
      <c r="AC49" s="373">
        <f t="shared" si="62"/>
        <v>41218.733791999999</v>
      </c>
      <c r="AD49" s="376">
        <f t="shared" si="49"/>
        <v>2225.8116247680005</v>
      </c>
      <c r="AE49" s="373">
        <f t="shared" si="63"/>
        <v>5961.15700502656</v>
      </c>
      <c r="AF49" s="373">
        <f t="shared" si="64"/>
        <v>49462.480550400003</v>
      </c>
      <c r="AG49" s="376">
        <f t="shared" si="87"/>
        <v>2225.8116247680005</v>
      </c>
      <c r="AH49" s="373">
        <f t="shared" si="66"/>
        <v>5961.15700502656</v>
      </c>
      <c r="AI49" s="373">
        <f t="shared" si="67"/>
        <v>57706.227308800007</v>
      </c>
      <c r="AJ49" s="376">
        <f t="shared" si="88"/>
        <v>2225.8116247680005</v>
      </c>
      <c r="AK49" s="373">
        <f t="shared" si="68"/>
        <v>5961.15700502656</v>
      </c>
      <c r="AL49" s="373">
        <f t="shared" si="69"/>
        <v>65949.974067200004</v>
      </c>
      <c r="AM49" s="376">
        <f t="shared" si="91"/>
        <v>2225.8116247680005</v>
      </c>
      <c r="AN49" s="373">
        <f t="shared" si="70"/>
        <v>5961.15700502656</v>
      </c>
      <c r="AO49" s="373">
        <f t="shared" si="71"/>
        <v>74193.720825600001</v>
      </c>
      <c r="AP49" s="376">
        <f t="shared" si="92"/>
        <v>2225.8116247680005</v>
      </c>
      <c r="AQ49" s="373">
        <f t="shared" si="72"/>
        <v>5961.15700502656</v>
      </c>
      <c r="AR49" s="373">
        <f t="shared" si="73"/>
        <v>82437.467583999998</v>
      </c>
      <c r="AS49" s="376">
        <f>H49*0.27</f>
        <v>2225.8116247680005</v>
      </c>
      <c r="AT49" s="373">
        <f t="shared" si="74"/>
        <v>5961.15700502656</v>
      </c>
      <c r="AU49" s="373">
        <f t="shared" si="75"/>
        <v>90681.21434240001</v>
      </c>
      <c r="AV49" s="377">
        <f>(AU49-88000)*0.35+(88000-AR49)*0.27</f>
        <v>2440.3087721600041</v>
      </c>
      <c r="AW49" s="373">
        <f t="shared" si="76"/>
        <v>5746.6598576345568</v>
      </c>
      <c r="AX49" s="373">
        <f t="shared" si="77"/>
        <v>98924.961100800007</v>
      </c>
      <c r="AY49" s="377">
        <f>H49*0.35</f>
        <v>2885.3113654399999</v>
      </c>
      <c r="AZ49" s="373">
        <f t="shared" si="52"/>
        <v>5301.6572643545605</v>
      </c>
      <c r="BA49" s="292"/>
      <c r="BC49" s="358"/>
    </row>
    <row r="50" spans="1:55" ht="45.75" customHeight="1" x14ac:dyDescent="0.45">
      <c r="A50" s="763"/>
      <c r="B50" s="434" t="s">
        <v>227</v>
      </c>
      <c r="C50" s="435">
        <v>180</v>
      </c>
      <c r="D50" s="419">
        <v>4996.0199999999995</v>
      </c>
      <c r="E50" s="419">
        <v>5995.2240000000002</v>
      </c>
      <c r="F50" s="419">
        <v>10991.243999999999</v>
      </c>
      <c r="G50" s="537">
        <v>359</v>
      </c>
      <c r="H50" s="538">
        <v>7116.6446464000001</v>
      </c>
      <c r="I50" s="544">
        <v>0.44</v>
      </c>
      <c r="J50" s="455">
        <v>5400</v>
      </c>
      <c r="K50" s="452">
        <v>5393.3113372057587</v>
      </c>
      <c r="L50" s="390">
        <v>5393.3113372057587</v>
      </c>
      <c r="M50" s="390">
        <f t="shared" si="44"/>
        <v>0</v>
      </c>
      <c r="N50" s="390"/>
      <c r="O50" s="390">
        <f t="shared" si="53"/>
        <v>5737.5652523465524</v>
      </c>
      <c r="P50" s="372">
        <f t="shared" si="45"/>
        <v>49.339254666240002</v>
      </c>
      <c r="Q50" s="373">
        <f t="shared" si="54"/>
        <v>7116.6446464000001</v>
      </c>
      <c r="R50" s="378">
        <f t="shared" si="89"/>
        <v>1067.49669696</v>
      </c>
      <c r="S50" s="373">
        <f t="shared" si="55"/>
        <v>5999.8086947737602</v>
      </c>
      <c r="T50" s="373">
        <f t="shared" si="56"/>
        <v>14233.2892928</v>
      </c>
      <c r="U50" s="374">
        <f t="shared" si="90"/>
        <v>1279.1611616</v>
      </c>
      <c r="V50" s="373">
        <f t="shared" si="57"/>
        <v>5788.1442301337602</v>
      </c>
      <c r="W50" s="373">
        <f t="shared" si="58"/>
        <v>21349.9339392</v>
      </c>
      <c r="X50" s="374">
        <f>H50*0.2</f>
        <v>1423.32892928</v>
      </c>
      <c r="Y50" s="373">
        <f t="shared" si="59"/>
        <v>5643.9764624537602</v>
      </c>
      <c r="Z50" s="373">
        <f t="shared" si="60"/>
        <v>28466.5785856</v>
      </c>
      <c r="AA50" s="376">
        <f>(Z50-25000)*0.27+(25000-W50)*0.2</f>
        <v>1665.9894302719999</v>
      </c>
      <c r="AB50" s="373">
        <f t="shared" si="61"/>
        <v>5401.3159614617598</v>
      </c>
      <c r="AC50" s="373">
        <f t="shared" si="62"/>
        <v>35583.223232000004</v>
      </c>
      <c r="AD50" s="376">
        <f t="shared" si="49"/>
        <v>1921.4940545280001</v>
      </c>
      <c r="AE50" s="373">
        <f t="shared" si="63"/>
        <v>5145.8113372057596</v>
      </c>
      <c r="AF50" s="373">
        <f t="shared" si="64"/>
        <v>42699.8678784</v>
      </c>
      <c r="AG50" s="376">
        <f t="shared" si="87"/>
        <v>1921.4940545280001</v>
      </c>
      <c r="AH50" s="373">
        <f t="shared" si="66"/>
        <v>5145.8113372057596</v>
      </c>
      <c r="AI50" s="373">
        <f t="shared" si="67"/>
        <v>49816.512524799997</v>
      </c>
      <c r="AJ50" s="376">
        <f t="shared" si="88"/>
        <v>1921.4940545280001</v>
      </c>
      <c r="AK50" s="373">
        <f t="shared" si="68"/>
        <v>5145.8113372057596</v>
      </c>
      <c r="AL50" s="373">
        <f t="shared" si="69"/>
        <v>56933.1571712</v>
      </c>
      <c r="AM50" s="376">
        <f t="shared" si="91"/>
        <v>1921.4940545280001</v>
      </c>
      <c r="AN50" s="373">
        <f t="shared" si="70"/>
        <v>5145.8113372057596</v>
      </c>
      <c r="AO50" s="373">
        <f t="shared" si="71"/>
        <v>64049.801817600004</v>
      </c>
      <c r="AP50" s="376">
        <f t="shared" si="92"/>
        <v>1921.4940545280001</v>
      </c>
      <c r="AQ50" s="373">
        <f t="shared" si="72"/>
        <v>5145.8113372057596</v>
      </c>
      <c r="AR50" s="373">
        <f t="shared" si="73"/>
        <v>71166.446464000008</v>
      </c>
      <c r="AS50" s="376">
        <f>H50*0.27</f>
        <v>1921.4940545280001</v>
      </c>
      <c r="AT50" s="373">
        <f t="shared" si="74"/>
        <v>5145.8113372057596</v>
      </c>
      <c r="AU50" s="373">
        <f t="shared" si="75"/>
        <v>78283.091110399997</v>
      </c>
      <c r="AV50" s="376">
        <f>H50*0.27</f>
        <v>1921.4940545280001</v>
      </c>
      <c r="AW50" s="373">
        <f t="shared" si="76"/>
        <v>5145.8113372057596</v>
      </c>
      <c r="AX50" s="373">
        <f t="shared" si="77"/>
        <v>85399.735756800001</v>
      </c>
      <c r="AY50" s="376">
        <f t="shared" ref="AY50:AY54" si="93">H50*0.27</f>
        <v>1921.4940545280001</v>
      </c>
      <c r="AZ50" s="373">
        <f t="shared" si="52"/>
        <v>5145.8113372057596</v>
      </c>
      <c r="BA50" s="292"/>
      <c r="BC50" s="358"/>
    </row>
    <row r="51" spans="1:55" ht="45.75" customHeight="1" x14ac:dyDescent="0.45">
      <c r="A51" s="763"/>
      <c r="B51" s="436" t="s">
        <v>228</v>
      </c>
      <c r="C51" s="435">
        <v>180</v>
      </c>
      <c r="D51" s="419">
        <v>4996.0199999999995</v>
      </c>
      <c r="E51" s="419">
        <v>5995.2240000000002</v>
      </c>
      <c r="F51" s="419">
        <v>10991.243999999999</v>
      </c>
      <c r="G51" s="537">
        <v>359</v>
      </c>
      <c r="H51" s="538">
        <v>5200.5710559999998</v>
      </c>
      <c r="I51" s="544">
        <v>0.1</v>
      </c>
      <c r="J51" s="455">
        <v>3900</v>
      </c>
      <c r="K51" s="452">
        <v>4007.2237019103995</v>
      </c>
      <c r="L51" s="390">
        <v>4007.2237019103995</v>
      </c>
      <c r="M51" s="390">
        <f t="shared" si="44"/>
        <v>0</v>
      </c>
      <c r="N51" s="390"/>
      <c r="O51" s="390">
        <f t="shared" si="53"/>
        <v>4263.0039382025534</v>
      </c>
      <c r="P51" s="372">
        <f t="shared" si="45"/>
        <v>36.693168969599995</v>
      </c>
      <c r="Q51" s="373">
        <f t="shared" si="54"/>
        <v>5200.5710559999998</v>
      </c>
      <c r="R51" s="378">
        <f t="shared" si="89"/>
        <v>780.08565839999994</v>
      </c>
      <c r="S51" s="373">
        <f t="shared" si="55"/>
        <v>4383.7922286303992</v>
      </c>
      <c r="T51" s="373">
        <f t="shared" si="56"/>
        <v>10401.142112</v>
      </c>
      <c r="U51" s="374">
        <f t="shared" si="90"/>
        <v>800.14276399999994</v>
      </c>
      <c r="V51" s="373">
        <f t="shared" si="57"/>
        <v>4363.7351230303993</v>
      </c>
      <c r="W51" s="373">
        <f t="shared" si="58"/>
        <v>15601.713167999998</v>
      </c>
      <c r="X51" s="374">
        <f>H51*0.2</f>
        <v>1040.1142112</v>
      </c>
      <c r="Y51" s="373">
        <f t="shared" si="59"/>
        <v>4123.7636758303997</v>
      </c>
      <c r="Z51" s="373">
        <f t="shared" si="60"/>
        <v>20802.284223999999</v>
      </c>
      <c r="AA51" s="374">
        <f>H51*0.2</f>
        <v>1040.1142112</v>
      </c>
      <c r="AB51" s="373">
        <f t="shared" si="61"/>
        <v>4123.7636758303997</v>
      </c>
      <c r="AC51" s="373">
        <f t="shared" si="62"/>
        <v>26002.85528</v>
      </c>
      <c r="AD51" s="376">
        <f>(AC51-25000)*0.27+(25000-Z51)*0.2</f>
        <v>1110.3140808000003</v>
      </c>
      <c r="AE51" s="373">
        <f t="shared" si="63"/>
        <v>4053.5638062303992</v>
      </c>
      <c r="AF51" s="373">
        <f t="shared" si="64"/>
        <v>31203.426335999997</v>
      </c>
      <c r="AG51" s="376">
        <f t="shared" si="87"/>
        <v>1404.15418512</v>
      </c>
      <c r="AH51" s="373">
        <f t="shared" si="66"/>
        <v>3759.7237019103995</v>
      </c>
      <c r="AI51" s="373">
        <f t="shared" si="67"/>
        <v>36403.997391999997</v>
      </c>
      <c r="AJ51" s="376">
        <f t="shared" si="88"/>
        <v>1404.15418512</v>
      </c>
      <c r="AK51" s="373">
        <f t="shared" si="68"/>
        <v>3759.7237019103995</v>
      </c>
      <c r="AL51" s="373">
        <f t="shared" si="69"/>
        <v>41604.568447999998</v>
      </c>
      <c r="AM51" s="376">
        <f t="shared" si="91"/>
        <v>1404.15418512</v>
      </c>
      <c r="AN51" s="373">
        <f t="shared" si="70"/>
        <v>3759.7237019103995</v>
      </c>
      <c r="AO51" s="373">
        <f t="shared" si="71"/>
        <v>46805.139503999999</v>
      </c>
      <c r="AP51" s="376">
        <f t="shared" si="92"/>
        <v>1404.15418512</v>
      </c>
      <c r="AQ51" s="373">
        <f t="shared" si="72"/>
        <v>3759.7237019103995</v>
      </c>
      <c r="AR51" s="373">
        <f t="shared" si="73"/>
        <v>52005.71056</v>
      </c>
      <c r="AS51" s="376">
        <f>H51*0.27</f>
        <v>1404.15418512</v>
      </c>
      <c r="AT51" s="373">
        <f t="shared" si="74"/>
        <v>3759.7237019103995</v>
      </c>
      <c r="AU51" s="373">
        <f t="shared" si="75"/>
        <v>57206.281616</v>
      </c>
      <c r="AV51" s="376">
        <f>H51*0.27</f>
        <v>1404.15418512</v>
      </c>
      <c r="AW51" s="373">
        <f t="shared" si="76"/>
        <v>3759.7237019103995</v>
      </c>
      <c r="AX51" s="373">
        <f t="shared" si="77"/>
        <v>62406.852671999994</v>
      </c>
      <c r="AY51" s="376">
        <f t="shared" si="93"/>
        <v>1404.15418512</v>
      </c>
      <c r="AZ51" s="373">
        <f t="shared" si="52"/>
        <v>3759.7237019103995</v>
      </c>
      <c r="BA51" s="292"/>
      <c r="BC51" s="358"/>
    </row>
    <row r="52" spans="1:55" ht="45.75" customHeight="1" x14ac:dyDescent="0.45">
      <c r="A52" s="763"/>
      <c r="B52" s="424" t="s">
        <v>199</v>
      </c>
      <c r="C52" s="433">
        <v>125</v>
      </c>
      <c r="D52" s="411">
        <v>3331</v>
      </c>
      <c r="E52" s="411">
        <v>4163</v>
      </c>
      <c r="F52" s="411">
        <v>7494</v>
      </c>
      <c r="G52" s="537">
        <v>359</v>
      </c>
      <c r="H52" s="538">
        <v>4928.6099999999997</v>
      </c>
      <c r="I52" s="544">
        <v>0.5</v>
      </c>
      <c r="J52" s="455">
        <v>3800</v>
      </c>
      <c r="K52" s="452">
        <v>3810.4870739999988</v>
      </c>
      <c r="L52" s="390">
        <v>3810.4870739999988</v>
      </c>
      <c r="M52" s="390">
        <f t="shared" si="44"/>
        <v>0</v>
      </c>
      <c r="N52" s="390"/>
      <c r="O52" s="390">
        <f t="shared" si="53"/>
        <v>4053.7096531914881</v>
      </c>
      <c r="P52" s="372">
        <f t="shared" si="45"/>
        <v>34.898226000000001</v>
      </c>
      <c r="Q52" s="373">
        <f t="shared" si="54"/>
        <v>4928.6099999999997</v>
      </c>
      <c r="R52" s="378">
        <f t="shared" si="89"/>
        <v>739.29149999999993</v>
      </c>
      <c r="S52" s="373">
        <f t="shared" si="55"/>
        <v>4154.4202739999992</v>
      </c>
      <c r="T52" s="373">
        <f t="shared" si="56"/>
        <v>9857.2199999999993</v>
      </c>
      <c r="U52" s="378">
        <f>H52*0.15</f>
        <v>739.29149999999993</v>
      </c>
      <c r="V52" s="373">
        <f t="shared" si="57"/>
        <v>4154.4202739999992</v>
      </c>
      <c r="W52" s="373">
        <f t="shared" si="58"/>
        <v>14785.829999999998</v>
      </c>
      <c r="X52" s="374">
        <f>(W52-10000)*0.2+(10000-T52)*0.15</f>
        <v>978.58299999999986</v>
      </c>
      <c r="Y52" s="373">
        <f t="shared" si="59"/>
        <v>3915.1287739999998</v>
      </c>
      <c r="Z52" s="373">
        <f t="shared" si="60"/>
        <v>19714.439999999999</v>
      </c>
      <c r="AA52" s="374">
        <f>H52*0.2</f>
        <v>985.72199999999998</v>
      </c>
      <c r="AB52" s="373">
        <f t="shared" si="61"/>
        <v>3907.9897739999997</v>
      </c>
      <c r="AC52" s="373">
        <f t="shared" si="62"/>
        <v>24643.05</v>
      </c>
      <c r="AD52" s="374">
        <f>H52*0.2</f>
        <v>985.72199999999998</v>
      </c>
      <c r="AE52" s="373">
        <f t="shared" si="63"/>
        <v>3907.9897739999997</v>
      </c>
      <c r="AF52" s="373">
        <f t="shared" si="64"/>
        <v>29571.659999999996</v>
      </c>
      <c r="AG52" s="376">
        <f>(AF52-25000)*0.27+(25000-AC52)*0.2</f>
        <v>1305.7381999999991</v>
      </c>
      <c r="AH52" s="373">
        <f t="shared" si="66"/>
        <v>3587.9735740000006</v>
      </c>
      <c r="AI52" s="373">
        <f t="shared" si="67"/>
        <v>34500.269999999997</v>
      </c>
      <c r="AJ52" s="376">
        <f t="shared" si="88"/>
        <v>1330.7247</v>
      </c>
      <c r="AK52" s="373">
        <f t="shared" si="68"/>
        <v>3562.9870739999997</v>
      </c>
      <c r="AL52" s="373">
        <f t="shared" si="69"/>
        <v>39428.879999999997</v>
      </c>
      <c r="AM52" s="376">
        <f t="shared" si="91"/>
        <v>1330.7247</v>
      </c>
      <c r="AN52" s="373">
        <f t="shared" si="70"/>
        <v>3562.9870739999997</v>
      </c>
      <c r="AO52" s="373">
        <f t="shared" si="71"/>
        <v>44357.49</v>
      </c>
      <c r="AP52" s="376">
        <f t="shared" si="92"/>
        <v>1330.7247</v>
      </c>
      <c r="AQ52" s="373">
        <f t="shared" si="72"/>
        <v>3562.9870739999997</v>
      </c>
      <c r="AR52" s="373">
        <f t="shared" si="73"/>
        <v>49286.1</v>
      </c>
      <c r="AS52" s="376">
        <f>H52*0.27</f>
        <v>1330.7247</v>
      </c>
      <c r="AT52" s="373">
        <f t="shared" si="74"/>
        <v>3562.9870739999997</v>
      </c>
      <c r="AU52" s="373">
        <f t="shared" si="75"/>
        <v>54214.71</v>
      </c>
      <c r="AV52" s="376">
        <f>H52*0.27</f>
        <v>1330.7247</v>
      </c>
      <c r="AW52" s="373">
        <f t="shared" si="76"/>
        <v>3562.9870739999997</v>
      </c>
      <c r="AX52" s="373">
        <f t="shared" si="77"/>
        <v>59143.319999999992</v>
      </c>
      <c r="AY52" s="376">
        <f t="shared" si="93"/>
        <v>1330.7247</v>
      </c>
      <c r="AZ52" s="373">
        <f t="shared" si="52"/>
        <v>3562.9870739999997</v>
      </c>
      <c r="BA52" s="292"/>
      <c r="BC52" s="358"/>
    </row>
    <row r="53" spans="1:55" ht="45.75" customHeight="1" x14ac:dyDescent="0.45">
      <c r="A53" s="738" t="s">
        <v>173</v>
      </c>
      <c r="B53" s="738"/>
      <c r="C53" s="437">
        <v>125</v>
      </c>
      <c r="D53" s="419">
        <v>3330.68</v>
      </c>
      <c r="E53" s="419">
        <v>4163.3499999999995</v>
      </c>
      <c r="F53" s="419">
        <v>7494.0299999999988</v>
      </c>
      <c r="G53" s="537">
        <v>278</v>
      </c>
      <c r="H53" s="538">
        <v>4774.6415599999991</v>
      </c>
      <c r="I53" s="544">
        <v>0.44</v>
      </c>
      <c r="J53" s="455">
        <v>3023</v>
      </c>
      <c r="K53" s="452">
        <v>3699.6409045039986</v>
      </c>
      <c r="L53" s="390">
        <v>3048.4967947859991</v>
      </c>
      <c r="M53" s="390">
        <f t="shared" si="44"/>
        <v>-651.14410971799953</v>
      </c>
      <c r="N53" s="390"/>
      <c r="O53" s="390">
        <f t="shared" si="53"/>
        <v>3935.7881962808497</v>
      </c>
      <c r="P53" s="372">
        <f t="shared" si="45"/>
        <v>33.347434295999996</v>
      </c>
      <c r="Q53" s="373">
        <f t="shared" si="54"/>
        <v>4774.6415599999991</v>
      </c>
      <c r="R53" s="378">
        <f t="shared" si="89"/>
        <v>716.19623399999989</v>
      </c>
      <c r="S53" s="373">
        <f t="shared" si="55"/>
        <v>4025.0978917039993</v>
      </c>
      <c r="T53" s="373">
        <f t="shared" si="56"/>
        <v>9549.2831199999982</v>
      </c>
      <c r="U53" s="378">
        <f>H53*0.15</f>
        <v>716.19623399999989</v>
      </c>
      <c r="V53" s="373">
        <f t="shared" si="57"/>
        <v>4025.0978917039993</v>
      </c>
      <c r="W53" s="373">
        <f t="shared" si="58"/>
        <v>14323.924679999996</v>
      </c>
      <c r="X53" s="374">
        <f>(W53-10000)*0.2+(10000-T53)*0.15</f>
        <v>932.39246799999955</v>
      </c>
      <c r="Y53" s="373">
        <f t="shared" si="59"/>
        <v>3808.9016577039997</v>
      </c>
      <c r="Z53" s="373">
        <f t="shared" si="60"/>
        <v>19098.566239999996</v>
      </c>
      <c r="AA53" s="374">
        <f t="shared" ref="AA53:AA54" si="94">H53*0.2</f>
        <v>954.92831199999989</v>
      </c>
      <c r="AB53" s="373">
        <f t="shared" si="61"/>
        <v>3786.3658137039993</v>
      </c>
      <c r="AC53" s="373">
        <f t="shared" si="62"/>
        <v>23873.207799999996</v>
      </c>
      <c r="AD53" s="374">
        <f>H53*0.2</f>
        <v>954.92831199999989</v>
      </c>
      <c r="AE53" s="373">
        <f t="shared" si="63"/>
        <v>3786.3658137039993</v>
      </c>
      <c r="AF53" s="373">
        <f t="shared" si="64"/>
        <v>28647.849359999993</v>
      </c>
      <c r="AG53" s="374">
        <f>H53*0.2</f>
        <v>954.92831199999989</v>
      </c>
      <c r="AH53" s="373">
        <f t="shared" si="66"/>
        <v>3786.3658137039993</v>
      </c>
      <c r="AI53" s="373">
        <f t="shared" si="67"/>
        <v>33422.490919999997</v>
      </c>
      <c r="AJ53" s="376">
        <f>(AI53-25000)*0.27+(25000-AF53)*0.2</f>
        <v>1544.5026764000004</v>
      </c>
      <c r="AK53" s="373">
        <f t="shared" si="68"/>
        <v>3196.7914493039989</v>
      </c>
      <c r="AL53" s="373">
        <f t="shared" si="69"/>
        <v>38197.132479999993</v>
      </c>
      <c r="AM53" s="376">
        <f t="shared" si="91"/>
        <v>1289.1532211999997</v>
      </c>
      <c r="AN53" s="373">
        <f t="shared" si="70"/>
        <v>3452.1409045039995</v>
      </c>
      <c r="AO53" s="373">
        <f t="shared" si="71"/>
        <v>42971.774039999989</v>
      </c>
      <c r="AP53" s="376">
        <f t="shared" si="92"/>
        <v>1289.1532211999997</v>
      </c>
      <c r="AQ53" s="373">
        <f t="shared" si="72"/>
        <v>3452.1409045039995</v>
      </c>
      <c r="AR53" s="373">
        <f t="shared" si="73"/>
        <v>47746.415599999993</v>
      </c>
      <c r="AS53" s="376">
        <f t="shared" ref="AS53:AS54" si="95">H53*0.27</f>
        <v>1289.1532211999997</v>
      </c>
      <c r="AT53" s="373">
        <f t="shared" si="74"/>
        <v>3452.1409045039995</v>
      </c>
      <c r="AU53" s="373">
        <f t="shared" si="75"/>
        <v>52521.057159999989</v>
      </c>
      <c r="AV53" s="376">
        <f t="shared" ref="AV53:AV54" si="96">H53*0.27</f>
        <v>1289.1532211999997</v>
      </c>
      <c r="AW53" s="373">
        <f t="shared" si="76"/>
        <v>3452.1409045039995</v>
      </c>
      <c r="AX53" s="373">
        <f t="shared" si="77"/>
        <v>57295.698719999986</v>
      </c>
      <c r="AY53" s="376">
        <f t="shared" si="93"/>
        <v>1289.1532211999997</v>
      </c>
      <c r="AZ53" s="373">
        <f t="shared" si="52"/>
        <v>3452.1409045039995</v>
      </c>
      <c r="BA53" s="292"/>
      <c r="BC53" s="358"/>
    </row>
    <row r="54" spans="1:55" ht="45.75" customHeight="1" x14ac:dyDescent="0.45">
      <c r="A54" s="739" t="s">
        <v>174</v>
      </c>
      <c r="B54" s="739"/>
      <c r="C54" s="433">
        <v>75</v>
      </c>
      <c r="D54" s="411">
        <v>2498.0099999999998</v>
      </c>
      <c r="E54" s="411">
        <v>2498</v>
      </c>
      <c r="F54" s="411">
        <v>4996.01</v>
      </c>
      <c r="G54" s="537">
        <v>278</v>
      </c>
      <c r="H54" s="538">
        <v>3699.3255999999997</v>
      </c>
      <c r="I54" s="544">
        <v>0.63</v>
      </c>
      <c r="J54" s="455">
        <v>2822</v>
      </c>
      <c r="K54" s="452">
        <v>2921.7573390399998</v>
      </c>
      <c r="L54" s="390">
        <v>2921.7573390399998</v>
      </c>
      <c r="M54" s="390">
        <f t="shared" si="44"/>
        <v>0</v>
      </c>
      <c r="N54" s="390"/>
      <c r="O54" s="390">
        <f t="shared" si="53"/>
        <v>3108.2524883404253</v>
      </c>
      <c r="P54" s="372">
        <f t="shared" si="45"/>
        <v>26.250348959999997</v>
      </c>
      <c r="Q54" s="373">
        <f t="shared" si="54"/>
        <v>3699.3255999999997</v>
      </c>
      <c r="R54" s="378">
        <f t="shared" si="89"/>
        <v>554.89883999999995</v>
      </c>
      <c r="S54" s="373">
        <f t="shared" si="55"/>
        <v>3118.1764110399999</v>
      </c>
      <c r="T54" s="373">
        <f t="shared" si="56"/>
        <v>7398.6511999999993</v>
      </c>
      <c r="U54" s="378">
        <f>H54*0.15</f>
        <v>554.89883999999995</v>
      </c>
      <c r="V54" s="373">
        <f t="shared" si="57"/>
        <v>3118.1764110399999</v>
      </c>
      <c r="W54" s="373">
        <f t="shared" si="58"/>
        <v>11097.976799999999</v>
      </c>
      <c r="X54" s="374">
        <f>(W54-10000)*0.2+(10000-T54)*0.15</f>
        <v>609.79767999999979</v>
      </c>
      <c r="Y54" s="373">
        <f t="shared" si="59"/>
        <v>3063.2775710400001</v>
      </c>
      <c r="Z54" s="373">
        <f t="shared" si="60"/>
        <v>14797.302399999999</v>
      </c>
      <c r="AA54" s="374">
        <f t="shared" si="94"/>
        <v>739.86511999999993</v>
      </c>
      <c r="AB54" s="373">
        <f t="shared" si="61"/>
        <v>2933.2101310399999</v>
      </c>
      <c r="AC54" s="373">
        <f t="shared" si="62"/>
        <v>18496.627999999997</v>
      </c>
      <c r="AD54" s="374">
        <f>H54*0.2</f>
        <v>739.86511999999993</v>
      </c>
      <c r="AE54" s="373">
        <f t="shared" si="63"/>
        <v>2933.2101310399999</v>
      </c>
      <c r="AF54" s="373">
        <f t="shared" si="64"/>
        <v>22195.953599999997</v>
      </c>
      <c r="AG54" s="374">
        <f>H54*0.2</f>
        <v>739.86511999999993</v>
      </c>
      <c r="AH54" s="373">
        <f t="shared" si="66"/>
        <v>2933.2101310399999</v>
      </c>
      <c r="AI54" s="373">
        <f t="shared" si="67"/>
        <v>25895.279199999997</v>
      </c>
      <c r="AJ54" s="376">
        <f>(AI54-25000)*0.27+(25000-AF54)*0.2</f>
        <v>802.53466399999991</v>
      </c>
      <c r="AK54" s="373">
        <f t="shared" si="68"/>
        <v>2870.54058704</v>
      </c>
      <c r="AL54" s="373">
        <f t="shared" si="69"/>
        <v>29594.604799999997</v>
      </c>
      <c r="AM54" s="376">
        <f t="shared" si="91"/>
        <v>998.81791199999998</v>
      </c>
      <c r="AN54" s="373">
        <f t="shared" si="70"/>
        <v>2674.2573390399998</v>
      </c>
      <c r="AO54" s="373">
        <f t="shared" si="71"/>
        <v>33293.930399999997</v>
      </c>
      <c r="AP54" s="376">
        <f t="shared" si="92"/>
        <v>998.81791199999998</v>
      </c>
      <c r="AQ54" s="373">
        <f t="shared" si="72"/>
        <v>2674.2573390399998</v>
      </c>
      <c r="AR54" s="373">
        <f t="shared" si="73"/>
        <v>36993.255999999994</v>
      </c>
      <c r="AS54" s="376">
        <f t="shared" si="95"/>
        <v>998.81791199999998</v>
      </c>
      <c r="AT54" s="373">
        <f t="shared" si="74"/>
        <v>2674.2573390399998</v>
      </c>
      <c r="AU54" s="373">
        <f t="shared" si="75"/>
        <v>40692.581599999998</v>
      </c>
      <c r="AV54" s="376">
        <f t="shared" si="96"/>
        <v>998.81791199999998</v>
      </c>
      <c r="AW54" s="373">
        <f t="shared" si="76"/>
        <v>2674.2573390399998</v>
      </c>
      <c r="AX54" s="373">
        <f t="shared" si="77"/>
        <v>44391.907199999994</v>
      </c>
      <c r="AY54" s="376">
        <f t="shared" si="93"/>
        <v>998.81791199999998</v>
      </c>
      <c r="AZ54" s="373">
        <f t="shared" si="52"/>
        <v>2674.2573390399998</v>
      </c>
      <c r="BA54" s="292"/>
      <c r="BC54" s="358"/>
    </row>
    <row r="55" spans="1:55" x14ac:dyDescent="0.35">
      <c r="AP55" s="379"/>
    </row>
  </sheetData>
  <mergeCells count="11">
    <mergeCell ref="A30:A38"/>
    <mergeCell ref="A39:A46"/>
    <mergeCell ref="A47:A52"/>
    <mergeCell ref="A53:B53"/>
    <mergeCell ref="A54:B54"/>
    <mergeCell ref="A28:B28"/>
    <mergeCell ref="A1:F1"/>
    <mergeCell ref="A4:B4"/>
    <mergeCell ref="A6:A14"/>
    <mergeCell ref="A15:A23"/>
    <mergeCell ref="A24:A27"/>
  </mergeCells>
  <pageMargins left="0.70866141732283472" right="0.51181102362204722" top="0.35433070866141736" bottom="0.35433070866141736" header="0.31496062992125984" footer="0.31496062992125984"/>
  <pageSetup paperSize="9" scale="33" orientation="portrait" r:id="rId1"/>
  <colBreaks count="2" manualBreakCount="2">
    <brk id="1" min="3" max="54" man="1"/>
    <brk id="3" min="3" max="54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"/>
  <sheetViews>
    <sheetView topLeftCell="A4" zoomScale="70" zoomScaleNormal="70" workbookViewId="0">
      <pane ySplit="1" topLeftCell="A5" activePane="bottomLeft" state="frozen"/>
      <selection activeCell="B4" sqref="B4"/>
      <selection pane="bottomLeft" activeCell="H5" sqref="H5"/>
    </sheetView>
  </sheetViews>
  <sheetFormatPr defaultRowHeight="21" x14ac:dyDescent="0.35"/>
  <cols>
    <col min="1" max="1" width="19.7109375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8.28515625" customWidth="1"/>
    <col min="10" max="10" width="24.42578125" customWidth="1"/>
    <col min="11" max="11" width="22.85546875" customWidth="1"/>
    <col min="12" max="14" width="22.85546875" hidden="1" customWidth="1"/>
    <col min="15" max="15" width="26" hidden="1" customWidth="1"/>
    <col min="16" max="16" width="13.28515625" style="130" customWidth="1"/>
    <col min="17" max="17" width="16.140625" style="130" bestFit="1" customWidth="1"/>
    <col min="18" max="18" width="14.140625" style="130" bestFit="1" customWidth="1"/>
    <col min="19" max="20" width="16.140625" style="130" bestFit="1" customWidth="1"/>
    <col min="21" max="21" width="14.140625" style="130" bestFit="1" customWidth="1"/>
    <col min="22" max="23" width="16.140625" style="130" bestFit="1" customWidth="1"/>
    <col min="24" max="24" width="14.140625" style="130" bestFit="1" customWidth="1"/>
    <col min="25" max="26" width="16.140625" style="130" bestFit="1" customWidth="1"/>
    <col min="27" max="27" width="14.140625" style="130" bestFit="1" customWidth="1"/>
    <col min="28" max="29" width="16.140625" style="130" bestFit="1" customWidth="1"/>
    <col min="30" max="30" width="14.140625" style="130" bestFit="1" customWidth="1"/>
    <col min="31" max="31" width="16.140625" style="130" bestFit="1" customWidth="1"/>
    <col min="32" max="32" width="17.7109375" style="130" bestFit="1" customWidth="1"/>
    <col min="33" max="33" width="14.140625" style="130" bestFit="1" customWidth="1"/>
    <col min="34" max="34" width="16.140625" style="130" bestFit="1" customWidth="1"/>
    <col min="35" max="35" width="17.7109375" style="130" bestFit="1" customWidth="1"/>
    <col min="36" max="36" width="14.140625" style="130" bestFit="1" customWidth="1"/>
    <col min="37" max="37" width="16.140625" style="130" bestFit="1" customWidth="1"/>
    <col min="38" max="38" width="17.7109375" style="130" bestFit="1" customWidth="1"/>
    <col min="39" max="39" width="18.7109375" style="130" customWidth="1"/>
    <col min="40" max="40" width="16.140625" style="130" bestFit="1" customWidth="1"/>
    <col min="41" max="41" width="17.7109375" style="130" bestFit="1" customWidth="1"/>
    <col min="42" max="42" width="14.140625" style="130" bestFit="1" customWidth="1"/>
    <col min="43" max="43" width="16.140625" style="130" bestFit="1" customWidth="1"/>
    <col min="44" max="44" width="17.7109375" style="130" bestFit="1" customWidth="1"/>
    <col min="45" max="45" width="14.140625" style="130" bestFit="1" customWidth="1"/>
    <col min="46" max="46" width="16.140625" style="130" bestFit="1" customWidth="1"/>
    <col min="47" max="47" width="17.7109375" style="130" bestFit="1" customWidth="1"/>
    <col min="48" max="48" width="14.140625" style="130" bestFit="1" customWidth="1"/>
    <col min="49" max="49" width="16.140625" style="130" bestFit="1" customWidth="1"/>
    <col min="50" max="50" width="17.7109375" style="130" bestFit="1" customWidth="1"/>
    <col min="51" max="51" width="14.140625" style="130" bestFit="1" customWidth="1"/>
    <col min="52" max="52" width="16.140625" style="130" bestFit="1" customWidth="1"/>
    <col min="53" max="53" width="19.7109375" bestFit="1" customWidth="1"/>
    <col min="55" max="55" width="17.85546875" bestFit="1" customWidth="1"/>
  </cols>
  <sheetData>
    <row r="1" spans="1:55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5" ht="24" hidden="1" thickBot="1" x14ac:dyDescent="0.4">
      <c r="A2" s="192"/>
      <c r="B2" s="2"/>
      <c r="C2" s="2"/>
      <c r="D2" s="2"/>
      <c r="E2" s="2"/>
      <c r="F2" s="2"/>
      <c r="K2" s="385"/>
      <c r="L2" s="385"/>
      <c r="M2" s="385"/>
      <c r="N2" s="385"/>
      <c r="O2" s="385"/>
    </row>
    <row r="3" spans="1:55" ht="27" hidden="1" thickBot="1" x14ac:dyDescent="0.4">
      <c r="A3" s="236" t="s">
        <v>1</v>
      </c>
      <c r="B3" s="4"/>
      <c r="C3" s="4"/>
      <c r="D3" s="4"/>
      <c r="E3" s="4"/>
      <c r="F3" s="4"/>
    </row>
    <row r="4" spans="1:55" ht="65.25" customHeight="1" x14ac:dyDescent="0.25">
      <c r="A4" s="726" t="s">
        <v>2</v>
      </c>
      <c r="B4" s="726"/>
      <c r="C4" s="548" t="s">
        <v>3</v>
      </c>
      <c r="D4" s="548" t="s">
        <v>229</v>
      </c>
      <c r="E4" s="548" t="s">
        <v>253</v>
      </c>
      <c r="F4" s="548" t="s">
        <v>231</v>
      </c>
      <c r="G4" s="395" t="s">
        <v>244</v>
      </c>
      <c r="H4" s="395" t="s">
        <v>249</v>
      </c>
      <c r="I4" s="352" t="s">
        <v>37</v>
      </c>
      <c r="J4" s="364" t="s">
        <v>279</v>
      </c>
      <c r="K4" s="364" t="s">
        <v>280</v>
      </c>
      <c r="L4" s="389"/>
      <c r="M4" s="389"/>
      <c r="N4" s="389"/>
      <c r="O4" s="389" t="s">
        <v>283</v>
      </c>
      <c r="P4" s="365" t="s">
        <v>245</v>
      </c>
      <c r="Q4" s="365">
        <v>1</v>
      </c>
      <c r="R4" s="365" t="s">
        <v>255</v>
      </c>
      <c r="S4" s="365" t="s">
        <v>267</v>
      </c>
      <c r="T4" s="365">
        <v>2</v>
      </c>
      <c r="U4" s="365" t="s">
        <v>256</v>
      </c>
      <c r="V4" s="365" t="s">
        <v>268</v>
      </c>
      <c r="W4" s="365">
        <v>3</v>
      </c>
      <c r="X4" s="365" t="s">
        <v>257</v>
      </c>
      <c r="Y4" s="365" t="s">
        <v>278</v>
      </c>
      <c r="Z4" s="365">
        <v>4</v>
      </c>
      <c r="AA4" s="365" t="s">
        <v>258</v>
      </c>
      <c r="AB4" s="365" t="s">
        <v>277</v>
      </c>
      <c r="AC4" s="365">
        <v>5</v>
      </c>
      <c r="AD4" s="365" t="s">
        <v>259</v>
      </c>
      <c r="AE4" s="365" t="s">
        <v>276</v>
      </c>
      <c r="AF4" s="365">
        <v>6</v>
      </c>
      <c r="AG4" s="365" t="s">
        <v>260</v>
      </c>
      <c r="AH4" s="365" t="s">
        <v>275</v>
      </c>
      <c r="AI4" s="365">
        <v>7</v>
      </c>
      <c r="AJ4" s="365" t="s">
        <v>261</v>
      </c>
      <c r="AK4" s="365" t="s">
        <v>274</v>
      </c>
      <c r="AL4" s="365">
        <v>8</v>
      </c>
      <c r="AM4" s="365" t="s">
        <v>262</v>
      </c>
      <c r="AN4" s="365" t="s">
        <v>273</v>
      </c>
      <c r="AO4" s="365">
        <v>9</v>
      </c>
      <c r="AP4" s="365" t="s">
        <v>263</v>
      </c>
      <c r="AQ4" s="365" t="s">
        <v>272</v>
      </c>
      <c r="AR4" s="365">
        <v>10</v>
      </c>
      <c r="AS4" s="365" t="s">
        <v>264</v>
      </c>
      <c r="AT4" s="365" t="s">
        <v>271</v>
      </c>
      <c r="AU4" s="365">
        <v>11</v>
      </c>
      <c r="AV4" s="365" t="s">
        <v>265</v>
      </c>
      <c r="AW4" s="365" t="s">
        <v>270</v>
      </c>
      <c r="AX4" s="365">
        <v>12</v>
      </c>
      <c r="AY4" s="366" t="s">
        <v>266</v>
      </c>
      <c r="AZ4" s="366" t="s">
        <v>269</v>
      </c>
    </row>
    <row r="5" spans="1:55" s="233" customFormat="1" ht="33.75" customHeight="1" x14ac:dyDescent="0.45">
      <c r="A5" s="229"/>
      <c r="B5" s="346"/>
      <c r="C5" s="231"/>
      <c r="D5" s="231"/>
      <c r="E5" s="231"/>
      <c r="F5" s="231"/>
      <c r="H5" s="357">
        <v>0.93</v>
      </c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1"/>
    </row>
    <row r="6" spans="1:55" s="233" customFormat="1" ht="30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18227.499739999999</v>
      </c>
      <c r="I6" s="463">
        <v>0.7</v>
      </c>
      <c r="J6" s="362">
        <v>12600</v>
      </c>
      <c r="K6" s="361">
        <f>((S6+V6+Y6+AB6+AE6+AH6+AK6+AN6+AQ6+AT6+AW6+AZ6)/12)+60</f>
        <v>12559.370599382668</v>
      </c>
      <c r="L6" s="390">
        <v>12559.370599382668</v>
      </c>
      <c r="M6" s="390">
        <f>L6-K6</f>
        <v>0</v>
      </c>
      <c r="N6" s="390"/>
      <c r="O6" s="390">
        <f t="shared" ref="O6:O28" si="0">K6/0.93</f>
        <v>13504.699569228675</v>
      </c>
      <c r="P6" s="372">
        <f t="shared" ref="P6:P28" si="1">(H6+G6)*0.0066</f>
        <v>122.67089828399999</v>
      </c>
      <c r="Q6" s="373">
        <f>H6*Q$4</f>
        <v>18227.499739999999</v>
      </c>
      <c r="R6" s="374">
        <f>(Q6-10000)*0.2+10000*0.15</f>
        <v>3145.4999479999997</v>
      </c>
      <c r="S6" s="373">
        <f>H6-P6-R6</f>
        <v>14959.328893716</v>
      </c>
      <c r="T6" s="373">
        <f>H6*2</f>
        <v>36454.999479999999</v>
      </c>
      <c r="U6" s="376">
        <f>(T6-25000)*0.27+4500-R6</f>
        <v>4447.3499116000003</v>
      </c>
      <c r="V6" s="373">
        <f t="shared" ref="V6:V28" si="2">H6-P6-U6</f>
        <v>13657.478930116</v>
      </c>
      <c r="W6" s="373">
        <f t="shared" ref="W6:W28" si="3">H6*3</f>
        <v>54682.499219999998</v>
      </c>
      <c r="X6" s="376">
        <f>Q6*0.27</f>
        <v>4921.4249298000004</v>
      </c>
      <c r="Y6" s="373">
        <f t="shared" ref="Y6:Y28" si="4">H6-P6-X6</f>
        <v>13183.403911916001</v>
      </c>
      <c r="Z6" s="373">
        <f t="shared" ref="Z6:Z28" si="5">H6*4</f>
        <v>72909.998959999997</v>
      </c>
      <c r="AA6" s="376">
        <f t="shared" ref="AA6:AA22" si="6">H6*0.27</f>
        <v>4921.4249298000004</v>
      </c>
      <c r="AB6" s="373">
        <f>H6-P6-AA6</f>
        <v>13183.403911916001</v>
      </c>
      <c r="AC6" s="373">
        <f>H6*5</f>
        <v>91137.498699999996</v>
      </c>
      <c r="AD6" s="377">
        <f>(AC6-88000)*0.35+(88000-Z6)*0.27</f>
        <v>5172.4248257999998</v>
      </c>
      <c r="AE6" s="373">
        <f>H6-P6-AD6</f>
        <v>12932.404015915999</v>
      </c>
      <c r="AF6" s="373">
        <f>H6*6</f>
        <v>109364.99844</v>
      </c>
      <c r="AG6" s="377">
        <f>$H$6*0.35</f>
        <v>6379.6249089999992</v>
      </c>
      <c r="AH6" s="373">
        <f>H6-P6-AG6</f>
        <v>11725.203932716002</v>
      </c>
      <c r="AI6" s="373">
        <f>H6*7</f>
        <v>127592.49818</v>
      </c>
      <c r="AJ6" s="377">
        <f>$H$6*0.35</f>
        <v>6379.6249089999992</v>
      </c>
      <c r="AK6" s="373">
        <f>H6-P6-AJ6</f>
        <v>11725.203932716002</v>
      </c>
      <c r="AL6" s="373">
        <f t="shared" ref="AL6:AL28" si="7">H6*8</f>
        <v>145819.99791999999</v>
      </c>
      <c r="AM6" s="377">
        <f>$H$6*0.35</f>
        <v>6379.6249089999992</v>
      </c>
      <c r="AN6" s="373">
        <f>H6-P6-AM6</f>
        <v>11725.203932716002</v>
      </c>
      <c r="AO6" s="373">
        <f>H6*9</f>
        <v>164047.49765999999</v>
      </c>
      <c r="AP6" s="377">
        <f>$H$6*0.35</f>
        <v>6379.6249089999992</v>
      </c>
      <c r="AQ6" s="373">
        <f>H6-P6-AP6</f>
        <v>11725.203932716002</v>
      </c>
      <c r="AR6" s="373">
        <f>H6*10</f>
        <v>182274.99739999999</v>
      </c>
      <c r="AS6" s="377">
        <f>$H$6*0.35</f>
        <v>6379.6249089999992</v>
      </c>
      <c r="AT6" s="373">
        <f>H6-P6-AS6</f>
        <v>11725.203932716002</v>
      </c>
      <c r="AU6" s="373">
        <f>H6*11</f>
        <v>200502.49713999999</v>
      </c>
      <c r="AV6" s="377">
        <f>$H$6*0.35</f>
        <v>6379.6249089999992</v>
      </c>
      <c r="AW6" s="373">
        <f t="shared" ref="AW6:AW28" si="8">H6-P6-AV6</f>
        <v>11725.203932716002</v>
      </c>
      <c r="AX6" s="373">
        <f t="shared" ref="AX6:AX28" si="9">H6*12</f>
        <v>218729.99687999999</v>
      </c>
      <c r="AY6" s="377">
        <f>$H$6*0.35</f>
        <v>6379.6249089999992</v>
      </c>
      <c r="AZ6" s="373">
        <f>H6-P6-AY6</f>
        <v>11725.203932716002</v>
      </c>
      <c r="BA6" s="371"/>
      <c r="BC6" s="358"/>
    </row>
    <row r="7" spans="1:55" s="233" customFormat="1" ht="30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11924.021305999999</v>
      </c>
      <c r="I7" s="363">
        <v>0.33</v>
      </c>
      <c r="J7" s="362">
        <v>8500</v>
      </c>
      <c r="K7" s="361">
        <f t="shared" ref="K7:K54" si="10">((S7+V7+Y7+AB7+AE7+AH7+AK7+AN7+AQ7+AT7+AW7+AZ7)/12)+60</f>
        <v>8503.712574947067</v>
      </c>
      <c r="L7" s="390">
        <v>8503.712574947067</v>
      </c>
      <c r="M7" s="390">
        <f t="shared" ref="M7:M28" si="11">L7-K7</f>
        <v>0</v>
      </c>
      <c r="N7" s="390"/>
      <c r="O7" s="390">
        <f t="shared" si="0"/>
        <v>9143.7769623086733</v>
      </c>
      <c r="P7" s="372">
        <f t="shared" si="1"/>
        <v>81.067940619599995</v>
      </c>
      <c r="Q7" s="373">
        <f t="shared" ref="Q7:Q28" si="12">H7*Q$4</f>
        <v>11924.021305999999</v>
      </c>
      <c r="R7" s="374">
        <f>(Q7-10000)*0.2+1500</f>
        <v>1884.8042611999997</v>
      </c>
      <c r="S7" s="373">
        <f t="shared" ref="S7:S28" si="13">H7-P7-R7</f>
        <v>9958.1491041804002</v>
      </c>
      <c r="T7" s="373">
        <f t="shared" ref="T7:T28" si="14">H7*2</f>
        <v>23848.042611999997</v>
      </c>
      <c r="U7" s="374">
        <f>H7*0.2</f>
        <v>2384.8042611999999</v>
      </c>
      <c r="V7" s="373">
        <f t="shared" si="2"/>
        <v>9458.1491041804002</v>
      </c>
      <c r="W7" s="373">
        <f t="shared" si="3"/>
        <v>35772.063918</v>
      </c>
      <c r="X7" s="376">
        <f>(25000-T7)*0.2+(W7-25000)*0.27</f>
        <v>3138.8487354600006</v>
      </c>
      <c r="Y7" s="373">
        <f t="shared" si="4"/>
        <v>8704.104629920399</v>
      </c>
      <c r="Z7" s="373">
        <f t="shared" si="5"/>
        <v>47696.085223999995</v>
      </c>
      <c r="AA7" s="376">
        <f t="shared" si="6"/>
        <v>3219.4857526199999</v>
      </c>
      <c r="AB7" s="373">
        <f t="shared" ref="AB7:AB28" si="15">H7-P7-AA7</f>
        <v>8623.4676127603998</v>
      </c>
      <c r="AC7" s="373">
        <f t="shared" ref="AC7:AC28" si="16">H7*5</f>
        <v>59620.10652999999</v>
      </c>
      <c r="AD7" s="376">
        <f t="shared" ref="AD7:AD24" si="17">H7*0.27</f>
        <v>3219.4857526199999</v>
      </c>
      <c r="AE7" s="373">
        <f t="shared" ref="AE7:AE28" si="18">H7-P7-AD7</f>
        <v>8623.4676127603998</v>
      </c>
      <c r="AF7" s="373">
        <f t="shared" ref="AF7:AF28" si="19">H7*6</f>
        <v>71544.127836</v>
      </c>
      <c r="AG7" s="376">
        <f t="shared" ref="AG7:AG14" si="20">H7*0.27</f>
        <v>3219.4857526199999</v>
      </c>
      <c r="AH7" s="373">
        <f t="shared" ref="AH7:AH28" si="21">H7-P7-AG7</f>
        <v>8623.4676127603998</v>
      </c>
      <c r="AI7" s="373">
        <f t="shared" ref="AI7:AI28" si="22">H7*7</f>
        <v>83468.149141999995</v>
      </c>
      <c r="AJ7" s="376">
        <f>H7*0.27</f>
        <v>3219.4857526199999</v>
      </c>
      <c r="AK7" s="373">
        <f t="shared" ref="AK7:AK28" si="23">H7-P7-AJ7</f>
        <v>8623.4676127603998</v>
      </c>
      <c r="AL7" s="373">
        <f t="shared" si="7"/>
        <v>95392.17044799999</v>
      </c>
      <c r="AM7" s="377">
        <f>(AL7-88000)*0.35+(88000-AI7)*0.27</f>
        <v>3810.8593884599977</v>
      </c>
      <c r="AN7" s="373">
        <f t="shared" ref="AN7:AN28" si="24">H7-P7-AM7</f>
        <v>8032.0939769204015</v>
      </c>
      <c r="AO7" s="373">
        <f t="shared" ref="AO7:AO28" si="25">H7*9</f>
        <v>107316.19175399998</v>
      </c>
      <c r="AP7" s="377">
        <f>H7*0.35</f>
        <v>4173.4074570999992</v>
      </c>
      <c r="AQ7" s="373">
        <f t="shared" ref="AQ7:AQ28" si="26">H7-P7-AP7</f>
        <v>7669.5459082804</v>
      </c>
      <c r="AR7" s="373">
        <f t="shared" ref="AR7:AR28" si="27">H7*10</f>
        <v>119240.21305999998</v>
      </c>
      <c r="AS7" s="377">
        <f t="shared" ref="AS7:AS12" si="28">H7*0.35</f>
        <v>4173.4074570999992</v>
      </c>
      <c r="AT7" s="373">
        <f t="shared" ref="AT7:AT28" si="29">H7-P7-AS7</f>
        <v>7669.5459082804</v>
      </c>
      <c r="AU7" s="373">
        <f t="shared" ref="AU7:AU28" si="30">H7*11</f>
        <v>131164.23436599999</v>
      </c>
      <c r="AV7" s="377">
        <f t="shared" ref="AV7:AV22" si="31">H7*0.35</f>
        <v>4173.4074570999992</v>
      </c>
      <c r="AW7" s="373">
        <f t="shared" si="8"/>
        <v>7669.5459082804</v>
      </c>
      <c r="AX7" s="373">
        <f t="shared" si="9"/>
        <v>143088.255672</v>
      </c>
      <c r="AY7" s="377">
        <f t="shared" ref="AY7" si="32">AV7</f>
        <v>4173.4074570999992</v>
      </c>
      <c r="AZ7" s="373">
        <f t="shared" ref="AZ7:AZ28" si="33">H7-P7-AY7</f>
        <v>7669.5459082804</v>
      </c>
      <c r="BA7" s="371"/>
      <c r="BC7" s="358"/>
    </row>
    <row r="8" spans="1:55" s="233" customFormat="1" ht="30" customHeight="1" x14ac:dyDescent="0.45">
      <c r="A8" s="728"/>
      <c r="B8" s="547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34">D8+E8*$H$5*$I8-G8</f>
        <v>9709.2856400000001</v>
      </c>
      <c r="I8" s="363">
        <v>0.2</v>
      </c>
      <c r="J8" s="362">
        <v>7066</v>
      </c>
      <c r="K8" s="361">
        <f t="shared" si="10"/>
        <v>7078.7516474426657</v>
      </c>
      <c r="L8" s="390">
        <v>7078.7516474426657</v>
      </c>
      <c r="M8" s="390">
        <f t="shared" si="11"/>
        <v>0</v>
      </c>
      <c r="N8" s="390"/>
      <c r="O8" s="390">
        <f t="shared" si="0"/>
        <v>7611.560911228672</v>
      </c>
      <c r="P8" s="372">
        <f t="shared" si="1"/>
        <v>66.450685223999997</v>
      </c>
      <c r="Q8" s="373">
        <f t="shared" si="12"/>
        <v>9709.2856400000001</v>
      </c>
      <c r="R8" s="378">
        <f>H8*0.15</f>
        <v>1456.392846</v>
      </c>
      <c r="S8" s="373">
        <f t="shared" si="13"/>
        <v>8186.4421087760011</v>
      </c>
      <c r="T8" s="373">
        <f t="shared" si="14"/>
        <v>19418.57128</v>
      </c>
      <c r="U8" s="374">
        <f t="shared" ref="U8" si="35">(T8-10000)*0.2+(10000-Q8)*0.15</f>
        <v>1927.3214100000002</v>
      </c>
      <c r="V8" s="373">
        <f t="shared" si="2"/>
        <v>7715.5135447760003</v>
      </c>
      <c r="W8" s="373">
        <f t="shared" si="3"/>
        <v>29127.856919999998</v>
      </c>
      <c r="X8" s="376">
        <f>(W8-25000)*0.27+(25000-T8)*0.2</f>
        <v>2230.8071123999998</v>
      </c>
      <c r="Y8" s="373">
        <f t="shared" si="4"/>
        <v>7412.027842376001</v>
      </c>
      <c r="Z8" s="373">
        <f t="shared" si="5"/>
        <v>38837.14256</v>
      </c>
      <c r="AA8" s="376">
        <f t="shared" si="6"/>
        <v>2621.5071228000002</v>
      </c>
      <c r="AB8" s="373">
        <f t="shared" si="15"/>
        <v>7021.3278319760011</v>
      </c>
      <c r="AC8" s="373">
        <f t="shared" si="16"/>
        <v>48546.428200000002</v>
      </c>
      <c r="AD8" s="376">
        <f t="shared" si="17"/>
        <v>2621.5071228000002</v>
      </c>
      <c r="AE8" s="373">
        <f t="shared" si="18"/>
        <v>7021.3278319760011</v>
      </c>
      <c r="AF8" s="373">
        <f t="shared" si="19"/>
        <v>58255.713839999997</v>
      </c>
      <c r="AG8" s="376">
        <f t="shared" si="20"/>
        <v>2621.5071228000002</v>
      </c>
      <c r="AH8" s="373">
        <f t="shared" si="21"/>
        <v>7021.3278319760011</v>
      </c>
      <c r="AI8" s="373">
        <f t="shared" si="22"/>
        <v>67964.999479999999</v>
      </c>
      <c r="AJ8" s="376">
        <f>H8*0.27</f>
        <v>2621.5071228000002</v>
      </c>
      <c r="AK8" s="373">
        <f t="shared" si="23"/>
        <v>7021.3278319760011</v>
      </c>
      <c r="AL8" s="373">
        <f t="shared" si="7"/>
        <v>77674.28512</v>
      </c>
      <c r="AM8" s="376">
        <f>H8*0.27</f>
        <v>2621.5071228000002</v>
      </c>
      <c r="AN8" s="373">
        <f t="shared" si="24"/>
        <v>7021.3278319760011</v>
      </c>
      <c r="AO8" s="373">
        <f t="shared" si="25"/>
        <v>87383.570760000002</v>
      </c>
      <c r="AP8" s="377">
        <f>(AO8-88000)*0.35+(88000-AL8)*0.27</f>
        <v>2572.1927836000009</v>
      </c>
      <c r="AQ8" s="373">
        <f t="shared" si="26"/>
        <v>7070.6421711759995</v>
      </c>
      <c r="AR8" s="373">
        <f t="shared" si="27"/>
        <v>97092.856400000004</v>
      </c>
      <c r="AS8" s="377">
        <f t="shared" si="28"/>
        <v>3398.2499739999998</v>
      </c>
      <c r="AT8" s="373">
        <f t="shared" si="29"/>
        <v>6244.5849807760005</v>
      </c>
      <c r="AU8" s="373">
        <f t="shared" si="30"/>
        <v>106802.14204000001</v>
      </c>
      <c r="AV8" s="377">
        <f t="shared" si="31"/>
        <v>3398.2499739999998</v>
      </c>
      <c r="AW8" s="373">
        <f t="shared" si="8"/>
        <v>6244.5849807760005</v>
      </c>
      <c r="AX8" s="373">
        <f t="shared" si="9"/>
        <v>116511.42767999999</v>
      </c>
      <c r="AY8" s="377">
        <f t="shared" ref="AY8:AY22" si="36">H8*0.35</f>
        <v>3398.2499739999998</v>
      </c>
      <c r="AZ8" s="373">
        <f t="shared" si="33"/>
        <v>6244.5849807760005</v>
      </c>
      <c r="BA8" s="371"/>
      <c r="BC8" s="358"/>
    </row>
    <row r="9" spans="1:55" s="233" customFormat="1" ht="30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37">D9+E9</f>
        <v>19983.72</v>
      </c>
      <c r="G9" s="233">
        <v>359</v>
      </c>
      <c r="H9" s="353">
        <f t="shared" si="34"/>
        <v>14107.781648</v>
      </c>
      <c r="I9" s="363">
        <v>0.63</v>
      </c>
      <c r="J9" s="362">
        <v>9900</v>
      </c>
      <c r="K9" s="361">
        <f t="shared" si="10"/>
        <v>9908.743978989869</v>
      </c>
      <c r="L9" s="390">
        <v>9908.743978989869</v>
      </c>
      <c r="M9" s="390">
        <f t="shared" si="11"/>
        <v>0</v>
      </c>
      <c r="N9" s="390"/>
      <c r="O9" s="390">
        <f t="shared" si="0"/>
        <v>10654.563418268675</v>
      </c>
      <c r="P9" s="372">
        <f t="shared" si="1"/>
        <v>95.480758876799996</v>
      </c>
      <c r="Q9" s="373">
        <f t="shared" si="12"/>
        <v>14107.781648</v>
      </c>
      <c r="R9" s="374">
        <f t="shared" ref="R9:R20" si="38">(Q9-10000)*0.2+10000*0.15</f>
        <v>2321.5563296</v>
      </c>
      <c r="S9" s="373">
        <f t="shared" si="13"/>
        <v>11690.7445595232</v>
      </c>
      <c r="T9" s="373">
        <f t="shared" si="14"/>
        <v>28215.563296</v>
      </c>
      <c r="U9" s="376">
        <f>(T9-25000)*0.27+(25000-Q9)*0.2</f>
        <v>3046.6457603200001</v>
      </c>
      <c r="V9" s="373">
        <f t="shared" si="2"/>
        <v>10965.655128803201</v>
      </c>
      <c r="W9" s="373">
        <f t="shared" si="3"/>
        <v>42323.344943999997</v>
      </c>
      <c r="X9" s="376">
        <f t="shared" ref="X9:X10" si="39">Q9*0.27</f>
        <v>3809.1010449600003</v>
      </c>
      <c r="Y9" s="373">
        <f t="shared" si="4"/>
        <v>10203.1998441632</v>
      </c>
      <c r="Z9" s="373">
        <f t="shared" si="5"/>
        <v>56431.126592000001</v>
      </c>
      <c r="AA9" s="376">
        <f t="shared" si="6"/>
        <v>3809.1010449600003</v>
      </c>
      <c r="AB9" s="373">
        <f t="shared" si="15"/>
        <v>10203.1998441632</v>
      </c>
      <c r="AC9" s="373">
        <f t="shared" si="16"/>
        <v>70538.908240000004</v>
      </c>
      <c r="AD9" s="376">
        <f t="shared" si="17"/>
        <v>3809.1010449600003</v>
      </c>
      <c r="AE9" s="373">
        <f t="shared" si="18"/>
        <v>10203.1998441632</v>
      </c>
      <c r="AF9" s="373">
        <f t="shared" si="19"/>
        <v>84646.689887999994</v>
      </c>
      <c r="AG9" s="376">
        <f t="shared" si="20"/>
        <v>3809.1010449600003</v>
      </c>
      <c r="AH9" s="373">
        <f t="shared" si="21"/>
        <v>10203.1998441632</v>
      </c>
      <c r="AI9" s="373">
        <f t="shared" si="22"/>
        <v>98754.471535999997</v>
      </c>
      <c r="AJ9" s="377">
        <f>(AI9-88000)*0.35+(88000-AF9)*0.27</f>
        <v>4669.4587678400003</v>
      </c>
      <c r="AK9" s="373">
        <f t="shared" si="23"/>
        <v>9342.8421212832</v>
      </c>
      <c r="AL9" s="373">
        <f t="shared" si="7"/>
        <v>112862.253184</v>
      </c>
      <c r="AM9" s="377">
        <f>H9*0.35</f>
        <v>4937.7235768</v>
      </c>
      <c r="AN9" s="373">
        <f t="shared" si="24"/>
        <v>9074.5773123231993</v>
      </c>
      <c r="AO9" s="373">
        <f t="shared" si="25"/>
        <v>126970.034832</v>
      </c>
      <c r="AP9" s="377">
        <f>H9*0.35</f>
        <v>4937.7235768</v>
      </c>
      <c r="AQ9" s="373">
        <f t="shared" si="26"/>
        <v>9074.5773123231993</v>
      </c>
      <c r="AR9" s="373">
        <f t="shared" si="27"/>
        <v>141077.81648000001</v>
      </c>
      <c r="AS9" s="377">
        <f t="shared" si="28"/>
        <v>4937.7235768</v>
      </c>
      <c r="AT9" s="373">
        <f t="shared" si="29"/>
        <v>9074.5773123231993</v>
      </c>
      <c r="AU9" s="373">
        <f t="shared" si="30"/>
        <v>155185.59812800001</v>
      </c>
      <c r="AV9" s="377">
        <f t="shared" si="31"/>
        <v>4937.7235768</v>
      </c>
      <c r="AW9" s="373">
        <f t="shared" si="8"/>
        <v>9074.5773123231993</v>
      </c>
      <c r="AX9" s="373">
        <f t="shared" si="9"/>
        <v>169293.37977599999</v>
      </c>
      <c r="AY9" s="377">
        <f t="shared" si="36"/>
        <v>4937.7235768</v>
      </c>
      <c r="AZ9" s="373">
        <f t="shared" si="33"/>
        <v>9074.5773123231993</v>
      </c>
      <c r="BA9" s="371"/>
      <c r="BC9" s="358"/>
    </row>
    <row r="10" spans="1:55" s="233" customFormat="1" ht="30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37"/>
        <v>19983.72</v>
      </c>
      <c r="G10" s="233">
        <v>359</v>
      </c>
      <c r="H10" s="353">
        <f t="shared" si="34"/>
        <v>12497.0648</v>
      </c>
      <c r="I10" s="463">
        <v>0.5</v>
      </c>
      <c r="J10" s="362">
        <v>8900</v>
      </c>
      <c r="K10" s="361">
        <f t="shared" si="10"/>
        <v>8872.3745149866663</v>
      </c>
      <c r="L10" s="390">
        <v>8872.3745149866663</v>
      </c>
      <c r="M10" s="390">
        <f t="shared" si="11"/>
        <v>0</v>
      </c>
      <c r="N10" s="390"/>
      <c r="O10" s="390">
        <f t="shared" si="0"/>
        <v>9540.1876505232958</v>
      </c>
      <c r="P10" s="372">
        <f t="shared" si="1"/>
        <v>84.850027679999997</v>
      </c>
      <c r="Q10" s="373">
        <f t="shared" si="12"/>
        <v>12497.0648</v>
      </c>
      <c r="R10" s="374">
        <f t="shared" si="38"/>
        <v>1999.4129600000001</v>
      </c>
      <c r="S10" s="373">
        <f t="shared" si="13"/>
        <v>10412.80181232</v>
      </c>
      <c r="T10" s="373">
        <f t="shared" si="14"/>
        <v>24994.1296</v>
      </c>
      <c r="U10" s="376">
        <f>H10*0.2</f>
        <v>2499.4129600000001</v>
      </c>
      <c r="V10" s="373">
        <f t="shared" si="2"/>
        <v>9912.80181232</v>
      </c>
      <c r="W10" s="373">
        <f t="shared" si="3"/>
        <v>37491.1944</v>
      </c>
      <c r="X10" s="376">
        <f t="shared" si="39"/>
        <v>3374.2074960000004</v>
      </c>
      <c r="Y10" s="373">
        <f t="shared" si="4"/>
        <v>9038.0072763199987</v>
      </c>
      <c r="Z10" s="373">
        <f t="shared" si="5"/>
        <v>49988.2592</v>
      </c>
      <c r="AA10" s="376">
        <f t="shared" si="6"/>
        <v>3374.2074960000004</v>
      </c>
      <c r="AB10" s="373">
        <f t="shared" si="15"/>
        <v>9038.0072763199987</v>
      </c>
      <c r="AC10" s="373">
        <f t="shared" si="16"/>
        <v>62485.324000000001</v>
      </c>
      <c r="AD10" s="376">
        <f t="shared" si="17"/>
        <v>3374.2074960000004</v>
      </c>
      <c r="AE10" s="373">
        <f t="shared" si="18"/>
        <v>9038.0072763199987</v>
      </c>
      <c r="AF10" s="373">
        <f t="shared" si="19"/>
        <v>74982.388800000001</v>
      </c>
      <c r="AG10" s="376">
        <f t="shared" si="20"/>
        <v>3374.2074960000004</v>
      </c>
      <c r="AH10" s="373">
        <f t="shared" si="21"/>
        <v>9038.0072763199987</v>
      </c>
      <c r="AI10" s="373">
        <f t="shared" si="22"/>
        <v>87479.453600000008</v>
      </c>
      <c r="AJ10" s="376">
        <f>H10*0.27</f>
        <v>3374.2074960000004</v>
      </c>
      <c r="AK10" s="373">
        <f t="shared" si="23"/>
        <v>9038.0072763199987</v>
      </c>
      <c r="AL10" s="373">
        <f t="shared" si="7"/>
        <v>99976.518400000001</v>
      </c>
      <c r="AM10" s="377">
        <f>(AL10-88000)*0.35+(88000-AI10)*0.27</f>
        <v>4332.328967999998</v>
      </c>
      <c r="AN10" s="373">
        <f t="shared" si="24"/>
        <v>8079.8858043200016</v>
      </c>
      <c r="AO10" s="373">
        <f t="shared" si="25"/>
        <v>112473.58319999999</v>
      </c>
      <c r="AP10" s="377">
        <f>H10*0.35</f>
        <v>4373.9726799999999</v>
      </c>
      <c r="AQ10" s="373">
        <f t="shared" si="26"/>
        <v>8038.2420923199998</v>
      </c>
      <c r="AR10" s="373">
        <f t="shared" si="27"/>
        <v>124970.648</v>
      </c>
      <c r="AS10" s="377">
        <f t="shared" si="28"/>
        <v>4373.9726799999999</v>
      </c>
      <c r="AT10" s="373">
        <f t="shared" si="29"/>
        <v>8038.2420923199998</v>
      </c>
      <c r="AU10" s="373">
        <f t="shared" si="30"/>
        <v>137467.71280000001</v>
      </c>
      <c r="AV10" s="377">
        <f t="shared" si="31"/>
        <v>4373.9726799999999</v>
      </c>
      <c r="AW10" s="373">
        <f t="shared" si="8"/>
        <v>8038.2420923199998</v>
      </c>
      <c r="AX10" s="373">
        <f t="shared" si="9"/>
        <v>149964.7776</v>
      </c>
      <c r="AY10" s="377">
        <f t="shared" si="36"/>
        <v>4373.9726799999999</v>
      </c>
      <c r="AZ10" s="373">
        <f t="shared" si="33"/>
        <v>8038.2420923199998</v>
      </c>
      <c r="BA10" s="371"/>
      <c r="BC10" s="358"/>
    </row>
    <row r="11" spans="1:55" s="233" customFormat="1" ht="30" customHeight="1" x14ac:dyDescent="0.45">
      <c r="A11" s="728"/>
      <c r="B11" s="547" t="s">
        <v>234</v>
      </c>
      <c r="C11" s="231">
        <v>300</v>
      </c>
      <c r="D11" s="238">
        <v>6661</v>
      </c>
      <c r="E11" s="234">
        <v>9992.0399999999991</v>
      </c>
      <c r="F11" s="234">
        <f t="shared" si="37"/>
        <v>16653.04</v>
      </c>
      <c r="G11" s="233">
        <v>359</v>
      </c>
      <c r="H11" s="353">
        <f t="shared" si="34"/>
        <v>10204.890824</v>
      </c>
      <c r="I11" s="463">
        <v>0.42</v>
      </c>
      <c r="J11" s="362">
        <v>7400</v>
      </c>
      <c r="K11" s="361">
        <f t="shared" si="10"/>
        <v>7397.624022828265</v>
      </c>
      <c r="L11" s="390">
        <v>7397.624022828265</v>
      </c>
      <c r="M11" s="390">
        <f t="shared" si="11"/>
        <v>0</v>
      </c>
      <c r="N11" s="390"/>
      <c r="O11" s="390">
        <f t="shared" si="0"/>
        <v>7954.4344331486718</v>
      </c>
      <c r="P11" s="372">
        <f t="shared" si="1"/>
        <v>69.721679438400002</v>
      </c>
      <c r="Q11" s="373">
        <f t="shared" si="12"/>
        <v>10204.890824</v>
      </c>
      <c r="R11" s="374">
        <f t="shared" si="38"/>
        <v>1540.9781648000001</v>
      </c>
      <c r="S11" s="373">
        <f t="shared" si="13"/>
        <v>8594.190979761599</v>
      </c>
      <c r="T11" s="373">
        <f t="shared" si="14"/>
        <v>20409.781648</v>
      </c>
      <c r="U11" s="374">
        <f>H11*0.2</f>
        <v>2040.9781648000001</v>
      </c>
      <c r="V11" s="373">
        <f t="shared" si="2"/>
        <v>8094.1909797615999</v>
      </c>
      <c r="W11" s="373">
        <f t="shared" si="3"/>
        <v>30614.672471999998</v>
      </c>
      <c r="X11" s="376">
        <f>(W11-25000)*0.27+(25000-T11)*0.2</f>
        <v>2434.0052378399996</v>
      </c>
      <c r="Y11" s="373">
        <f t="shared" si="4"/>
        <v>7701.1639067216001</v>
      </c>
      <c r="Z11" s="373">
        <f t="shared" si="5"/>
        <v>40819.563296</v>
      </c>
      <c r="AA11" s="376">
        <f t="shared" si="6"/>
        <v>2755.3205224800004</v>
      </c>
      <c r="AB11" s="373">
        <f t="shared" si="15"/>
        <v>7379.8486220815994</v>
      </c>
      <c r="AC11" s="373">
        <f t="shared" si="16"/>
        <v>51024.454120000002</v>
      </c>
      <c r="AD11" s="376">
        <f t="shared" si="17"/>
        <v>2755.3205224800004</v>
      </c>
      <c r="AE11" s="373">
        <f t="shared" si="18"/>
        <v>7379.8486220815994</v>
      </c>
      <c r="AF11" s="373">
        <f t="shared" si="19"/>
        <v>61229.344943999997</v>
      </c>
      <c r="AG11" s="376">
        <f t="shared" si="20"/>
        <v>2755.3205224800004</v>
      </c>
      <c r="AH11" s="373">
        <f t="shared" si="21"/>
        <v>7379.8486220815994</v>
      </c>
      <c r="AI11" s="373">
        <f t="shared" si="22"/>
        <v>71434.235767999999</v>
      </c>
      <c r="AJ11" s="376">
        <f>H11*0.27</f>
        <v>2755.3205224800004</v>
      </c>
      <c r="AK11" s="373">
        <f t="shared" si="23"/>
        <v>7379.8486220815994</v>
      </c>
      <c r="AL11" s="373">
        <f t="shared" si="7"/>
        <v>81639.126592000001</v>
      </c>
      <c r="AM11" s="376">
        <f>H11*0.27</f>
        <v>2755.3205224800004</v>
      </c>
      <c r="AN11" s="373">
        <f t="shared" si="24"/>
        <v>7379.8486220815994</v>
      </c>
      <c r="AO11" s="373">
        <f t="shared" si="25"/>
        <v>91844.017416000002</v>
      </c>
      <c r="AP11" s="377">
        <f>(AO11-88000)*0.35+(88000-AL11)*0.27</f>
        <v>3062.841915760001</v>
      </c>
      <c r="AQ11" s="373">
        <f t="shared" si="26"/>
        <v>7072.3272288015987</v>
      </c>
      <c r="AR11" s="373">
        <f t="shared" si="27"/>
        <v>102048.90824</v>
      </c>
      <c r="AS11" s="377">
        <f t="shared" si="28"/>
        <v>3571.7117883999999</v>
      </c>
      <c r="AT11" s="373">
        <f t="shared" si="29"/>
        <v>6563.4573561615998</v>
      </c>
      <c r="AU11" s="373">
        <f t="shared" si="30"/>
        <v>112253.79906400001</v>
      </c>
      <c r="AV11" s="377">
        <f t="shared" si="31"/>
        <v>3571.7117883999999</v>
      </c>
      <c r="AW11" s="373">
        <f t="shared" si="8"/>
        <v>6563.4573561615998</v>
      </c>
      <c r="AX11" s="373">
        <f t="shared" si="9"/>
        <v>122458.68988799999</v>
      </c>
      <c r="AY11" s="377">
        <f t="shared" si="36"/>
        <v>3571.7117883999999</v>
      </c>
      <c r="AZ11" s="373">
        <f t="shared" si="33"/>
        <v>6563.4573561615998</v>
      </c>
      <c r="BA11" s="371"/>
      <c r="BC11" s="358"/>
    </row>
    <row r="12" spans="1:55" s="380" customFormat="1" ht="30" customHeight="1" x14ac:dyDescent="0.45">
      <c r="A12" s="728"/>
      <c r="B12" s="547" t="s">
        <v>236</v>
      </c>
      <c r="C12" s="231">
        <v>300</v>
      </c>
      <c r="D12" s="238">
        <v>6661</v>
      </c>
      <c r="E12" s="234">
        <v>9992.0399999999991</v>
      </c>
      <c r="F12" s="234">
        <f t="shared" si="37"/>
        <v>16653.04</v>
      </c>
      <c r="G12" s="233">
        <v>359</v>
      </c>
      <c r="H12" s="353">
        <f t="shared" si="34"/>
        <v>9926.1129079999992</v>
      </c>
      <c r="I12" s="463">
        <v>0.39</v>
      </c>
      <c r="J12" s="362">
        <v>7200</v>
      </c>
      <c r="K12" s="361">
        <f t="shared" si="10"/>
        <v>7218.2583116738651</v>
      </c>
      <c r="L12" s="390">
        <v>7218.2583116738651</v>
      </c>
      <c r="M12" s="390">
        <f t="shared" si="11"/>
        <v>0</v>
      </c>
      <c r="N12" s="390"/>
      <c r="O12" s="390">
        <f t="shared" si="0"/>
        <v>7761.5680770686722</v>
      </c>
      <c r="P12" s="372">
        <f t="shared" si="1"/>
        <v>67.881745192799997</v>
      </c>
      <c r="Q12" s="373">
        <f t="shared" si="12"/>
        <v>9926.1129079999992</v>
      </c>
      <c r="R12" s="378">
        <f>(Q12*0.15)</f>
        <v>1488.9169361999998</v>
      </c>
      <c r="S12" s="373">
        <f t="shared" si="13"/>
        <v>8369.3142266071991</v>
      </c>
      <c r="T12" s="373">
        <f t="shared" si="14"/>
        <v>19852.225815999998</v>
      </c>
      <c r="U12" s="374">
        <f>(T12-10000)*0.2+(10000-Q12)*0.15</f>
        <v>1981.528227</v>
      </c>
      <c r="V12" s="373">
        <f t="shared" si="2"/>
        <v>7876.7029358071986</v>
      </c>
      <c r="W12" s="373">
        <f t="shared" si="3"/>
        <v>29778.338723999997</v>
      </c>
      <c r="X12" s="382">
        <f>(W12-25000)*0.27+(25000-T12)*0.2</f>
        <v>2319.7062922799996</v>
      </c>
      <c r="Y12" s="373">
        <f t="shared" si="4"/>
        <v>7538.5248705271988</v>
      </c>
      <c r="Z12" s="373">
        <f t="shared" si="5"/>
        <v>39704.451631999997</v>
      </c>
      <c r="AA12" s="382">
        <f t="shared" si="6"/>
        <v>2680.0504851599999</v>
      </c>
      <c r="AB12" s="373">
        <f t="shared" si="15"/>
        <v>7178.1806776471985</v>
      </c>
      <c r="AC12" s="373">
        <f t="shared" si="16"/>
        <v>49630.564539999992</v>
      </c>
      <c r="AD12" s="382">
        <f t="shared" si="17"/>
        <v>2680.0504851599999</v>
      </c>
      <c r="AE12" s="373">
        <f t="shared" si="18"/>
        <v>7178.1806776471985</v>
      </c>
      <c r="AF12" s="373">
        <f t="shared" si="19"/>
        <v>59556.677447999995</v>
      </c>
      <c r="AG12" s="382">
        <f t="shared" si="20"/>
        <v>2680.0504851599999</v>
      </c>
      <c r="AH12" s="373">
        <f t="shared" si="21"/>
        <v>7178.1806776471985</v>
      </c>
      <c r="AI12" s="373">
        <f t="shared" si="22"/>
        <v>69482.790355999998</v>
      </c>
      <c r="AJ12" s="382">
        <f>H12*0.27</f>
        <v>2680.0504851599999</v>
      </c>
      <c r="AK12" s="373">
        <f t="shared" si="23"/>
        <v>7178.1806776471985</v>
      </c>
      <c r="AL12" s="373">
        <f t="shared" si="7"/>
        <v>79408.903263999993</v>
      </c>
      <c r="AM12" s="376">
        <f>H12*0.27</f>
        <v>2680.0504851599999</v>
      </c>
      <c r="AN12" s="373">
        <f t="shared" si="24"/>
        <v>7178.1806776471985</v>
      </c>
      <c r="AO12" s="373">
        <f t="shared" si="25"/>
        <v>89335.016171999989</v>
      </c>
      <c r="AP12" s="377">
        <f>(AO12-88000)*0.35+(88000-AL12)*0.27</f>
        <v>2786.8517789199977</v>
      </c>
      <c r="AQ12" s="373">
        <f t="shared" si="26"/>
        <v>7071.3793838872007</v>
      </c>
      <c r="AR12" s="373">
        <f t="shared" si="27"/>
        <v>99261.129079999984</v>
      </c>
      <c r="AS12" s="383">
        <f t="shared" si="28"/>
        <v>3474.1395177999993</v>
      </c>
      <c r="AT12" s="373">
        <f t="shared" si="29"/>
        <v>6384.0916450071991</v>
      </c>
      <c r="AU12" s="373">
        <f t="shared" si="30"/>
        <v>109187.24198799999</v>
      </c>
      <c r="AV12" s="383">
        <f t="shared" si="31"/>
        <v>3474.1395177999993</v>
      </c>
      <c r="AW12" s="373">
        <f t="shared" si="8"/>
        <v>6384.0916450071991</v>
      </c>
      <c r="AX12" s="373">
        <f t="shared" si="9"/>
        <v>119113.35489599999</v>
      </c>
      <c r="AY12" s="383">
        <f t="shared" si="36"/>
        <v>3474.1395177999993</v>
      </c>
      <c r="AZ12" s="373">
        <f t="shared" si="33"/>
        <v>6384.0916450071991</v>
      </c>
      <c r="BA12" s="384"/>
      <c r="BC12" s="358"/>
    </row>
    <row r="13" spans="1:55" s="233" customFormat="1" ht="30" customHeight="1" x14ac:dyDescent="0.45">
      <c r="A13" s="728"/>
      <c r="B13" s="547" t="s">
        <v>235</v>
      </c>
      <c r="C13" s="231">
        <v>300</v>
      </c>
      <c r="D13" s="238">
        <v>6661</v>
      </c>
      <c r="E13" s="234">
        <v>9992.0399999999991</v>
      </c>
      <c r="F13" s="234">
        <f t="shared" si="37"/>
        <v>16653.04</v>
      </c>
      <c r="G13" s="233">
        <v>359</v>
      </c>
      <c r="H13" s="353">
        <f t="shared" si="34"/>
        <v>9275.6311040000001</v>
      </c>
      <c r="I13" s="463">
        <v>0.32</v>
      </c>
      <c r="J13" s="362">
        <v>6800</v>
      </c>
      <c r="K13" s="361">
        <f t="shared" si="10"/>
        <v>6799.7383189802667</v>
      </c>
      <c r="L13" s="390">
        <v>6799.7383189802667</v>
      </c>
      <c r="M13" s="390">
        <f t="shared" si="11"/>
        <v>0</v>
      </c>
      <c r="N13" s="390"/>
      <c r="O13" s="390">
        <f t="shared" si="0"/>
        <v>7311.5465795486734</v>
      </c>
      <c r="P13" s="372">
        <f t="shared" si="1"/>
        <v>63.588565286399998</v>
      </c>
      <c r="Q13" s="373">
        <f t="shared" si="12"/>
        <v>9275.6311040000001</v>
      </c>
      <c r="R13" s="378">
        <f>(Q13*0.15)</f>
        <v>1391.3446655999999</v>
      </c>
      <c r="S13" s="373">
        <f t="shared" si="13"/>
        <v>7820.6978731136005</v>
      </c>
      <c r="T13" s="373">
        <f t="shared" si="14"/>
        <v>18551.262208</v>
      </c>
      <c r="U13" s="374">
        <f>(T13-10000)*0.2+(10000-Q13)*0.15</f>
        <v>1818.907776</v>
      </c>
      <c r="V13" s="373">
        <f t="shared" si="2"/>
        <v>7393.1347627136001</v>
      </c>
      <c r="W13" s="373">
        <f t="shared" si="3"/>
        <v>27826.893312</v>
      </c>
      <c r="X13" s="376">
        <f>(W13-25000)*0.27+(25000-T13)*0.2</f>
        <v>2053.0087526400002</v>
      </c>
      <c r="Y13" s="373">
        <f t="shared" si="4"/>
        <v>7159.0337860735999</v>
      </c>
      <c r="Z13" s="373">
        <f t="shared" si="5"/>
        <v>37102.524416</v>
      </c>
      <c r="AA13" s="376">
        <f t="shared" si="6"/>
        <v>2504.4203980800003</v>
      </c>
      <c r="AB13" s="373">
        <f t="shared" si="15"/>
        <v>6707.6221406335999</v>
      </c>
      <c r="AC13" s="373">
        <f t="shared" si="16"/>
        <v>46378.15552</v>
      </c>
      <c r="AD13" s="376">
        <f t="shared" si="17"/>
        <v>2504.4203980800003</v>
      </c>
      <c r="AE13" s="373">
        <f t="shared" si="18"/>
        <v>6707.6221406335999</v>
      </c>
      <c r="AF13" s="373">
        <f t="shared" si="19"/>
        <v>55653.786624</v>
      </c>
      <c r="AG13" s="376">
        <f t="shared" si="20"/>
        <v>2504.4203980800003</v>
      </c>
      <c r="AH13" s="373">
        <f t="shared" si="21"/>
        <v>6707.6221406335999</v>
      </c>
      <c r="AI13" s="373">
        <f t="shared" si="22"/>
        <v>64929.417728</v>
      </c>
      <c r="AJ13" s="376">
        <f>H13*0.27</f>
        <v>2504.4203980800003</v>
      </c>
      <c r="AK13" s="373">
        <f t="shared" si="23"/>
        <v>6707.6221406335999</v>
      </c>
      <c r="AL13" s="373">
        <f t="shared" si="7"/>
        <v>74205.048832</v>
      </c>
      <c r="AM13" s="376">
        <f>H13*0.27</f>
        <v>2504.4203980800003</v>
      </c>
      <c r="AN13" s="373">
        <f t="shared" si="24"/>
        <v>6707.6221406335999</v>
      </c>
      <c r="AO13" s="373">
        <f t="shared" si="25"/>
        <v>83480.679936</v>
      </c>
      <c r="AP13" s="376">
        <f>H13*0.27</f>
        <v>2504.4203980800003</v>
      </c>
      <c r="AQ13" s="373">
        <f t="shared" si="26"/>
        <v>6707.6221406335999</v>
      </c>
      <c r="AR13" s="373">
        <f t="shared" si="27"/>
        <v>92756.311040000001</v>
      </c>
      <c r="AS13" s="377">
        <f>(AR13-88000)*0.35+(88000-AO13)*0.27</f>
        <v>2884.92528128</v>
      </c>
      <c r="AT13" s="373">
        <f t="shared" si="29"/>
        <v>6327.1172574335997</v>
      </c>
      <c r="AU13" s="373">
        <f t="shared" si="30"/>
        <v>102031.942144</v>
      </c>
      <c r="AV13" s="377">
        <f t="shared" si="31"/>
        <v>3246.4708863999999</v>
      </c>
      <c r="AW13" s="373">
        <f t="shared" si="8"/>
        <v>5965.5716523135998</v>
      </c>
      <c r="AX13" s="373">
        <f t="shared" si="9"/>
        <v>111307.573248</v>
      </c>
      <c r="AY13" s="377">
        <f t="shared" si="36"/>
        <v>3246.4708863999999</v>
      </c>
      <c r="AZ13" s="373">
        <f t="shared" si="33"/>
        <v>5965.5716523135998</v>
      </c>
      <c r="BA13" s="371"/>
      <c r="BC13" s="358"/>
    </row>
    <row r="14" spans="1:55" s="233" customFormat="1" ht="30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37"/>
        <v>16653.04</v>
      </c>
      <c r="G14" s="233">
        <v>359</v>
      </c>
      <c r="H14" s="353">
        <f t="shared" si="34"/>
        <v>8346.371384</v>
      </c>
      <c r="I14" s="463">
        <v>0.22</v>
      </c>
      <c r="J14" s="362">
        <v>6200</v>
      </c>
      <c r="K14" s="361">
        <f t="shared" si="10"/>
        <v>6201.8526151322667</v>
      </c>
      <c r="L14" s="390">
        <v>6201.8526151322667</v>
      </c>
      <c r="M14" s="390">
        <f t="shared" si="11"/>
        <v>0</v>
      </c>
      <c r="N14" s="390"/>
      <c r="O14" s="390">
        <f t="shared" si="0"/>
        <v>6668.6587259486732</v>
      </c>
      <c r="P14" s="372">
        <f t="shared" si="1"/>
        <v>57.455451134400001</v>
      </c>
      <c r="Q14" s="373">
        <f t="shared" si="12"/>
        <v>8346.371384</v>
      </c>
      <c r="R14" s="378">
        <f>(Q14*0.15)</f>
        <v>1251.9557075999999</v>
      </c>
      <c r="S14" s="373">
        <f t="shared" si="13"/>
        <v>7036.9602252656005</v>
      </c>
      <c r="T14" s="373">
        <f t="shared" si="14"/>
        <v>16692.742768</v>
      </c>
      <c r="U14" s="374">
        <f>(T14-10000)*0.2+(10000-Q14)*0.15</f>
        <v>1586.592846</v>
      </c>
      <c r="V14" s="373">
        <f t="shared" si="2"/>
        <v>6702.323086865601</v>
      </c>
      <c r="W14" s="373">
        <f t="shared" si="3"/>
        <v>25039.114152000002</v>
      </c>
      <c r="X14" s="376">
        <f>(W14-25000)*0.27+(25000-T14)*0.2</f>
        <v>1672.0122674400006</v>
      </c>
      <c r="Y14" s="373">
        <f t="shared" si="4"/>
        <v>6616.9036654255997</v>
      </c>
      <c r="Z14" s="373">
        <f t="shared" si="5"/>
        <v>33385.485536</v>
      </c>
      <c r="AA14" s="376">
        <f t="shared" si="6"/>
        <v>2253.5202736800002</v>
      </c>
      <c r="AB14" s="373">
        <f t="shared" si="15"/>
        <v>6035.3956591856004</v>
      </c>
      <c r="AC14" s="373">
        <f t="shared" si="16"/>
        <v>41731.856919999998</v>
      </c>
      <c r="AD14" s="376">
        <f t="shared" si="17"/>
        <v>2253.5202736800002</v>
      </c>
      <c r="AE14" s="373">
        <f t="shared" si="18"/>
        <v>6035.3956591856004</v>
      </c>
      <c r="AF14" s="373">
        <f t="shared" si="19"/>
        <v>50078.228304000004</v>
      </c>
      <c r="AG14" s="376">
        <f t="shared" si="20"/>
        <v>2253.5202736800002</v>
      </c>
      <c r="AH14" s="373">
        <f t="shared" si="21"/>
        <v>6035.3956591856004</v>
      </c>
      <c r="AI14" s="373">
        <f t="shared" si="22"/>
        <v>58424.599688000002</v>
      </c>
      <c r="AJ14" s="376">
        <f>H14*0.27</f>
        <v>2253.5202736800002</v>
      </c>
      <c r="AK14" s="373">
        <f t="shared" si="23"/>
        <v>6035.3956591856004</v>
      </c>
      <c r="AL14" s="373">
        <f t="shared" si="7"/>
        <v>66770.971072</v>
      </c>
      <c r="AM14" s="376">
        <f>H14*0.27</f>
        <v>2253.5202736800002</v>
      </c>
      <c r="AN14" s="373">
        <f t="shared" si="24"/>
        <v>6035.3956591856004</v>
      </c>
      <c r="AO14" s="373">
        <f t="shared" si="25"/>
        <v>75117.342455999998</v>
      </c>
      <c r="AP14" s="376">
        <f>H14*0.27</f>
        <v>2253.5202736800002</v>
      </c>
      <c r="AQ14" s="373">
        <f t="shared" si="26"/>
        <v>6035.3956591856004</v>
      </c>
      <c r="AR14" s="373">
        <f t="shared" si="27"/>
        <v>83463.713839999997</v>
      </c>
      <c r="AS14" s="376">
        <f>H14*0.27</f>
        <v>2253.5202736800002</v>
      </c>
      <c r="AT14" s="373">
        <f t="shared" si="29"/>
        <v>6035.3956591856004</v>
      </c>
      <c r="AU14" s="373">
        <f t="shared" si="30"/>
        <v>91810.085223999995</v>
      </c>
      <c r="AV14" s="377">
        <f>(AU14-88000)*0.35+(88000-AR14)*0.27</f>
        <v>2558.3270915999992</v>
      </c>
      <c r="AW14" s="373">
        <f t="shared" si="8"/>
        <v>5730.5888412656013</v>
      </c>
      <c r="AX14" s="373">
        <f t="shared" si="9"/>
        <v>100156.45660800001</v>
      </c>
      <c r="AY14" s="377">
        <f t="shared" si="36"/>
        <v>2921.2299843999999</v>
      </c>
      <c r="AZ14" s="373">
        <f t="shared" si="33"/>
        <v>5367.6859484656006</v>
      </c>
      <c r="BA14" s="371"/>
      <c r="BC14" s="358"/>
    </row>
    <row r="15" spans="1:55" s="233" customFormat="1" ht="30" customHeight="1" x14ac:dyDescent="0.45">
      <c r="A15" s="730" t="s">
        <v>15</v>
      </c>
      <c r="B15" s="547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37"/>
        <v>24980.1</v>
      </c>
      <c r="G15" s="233">
        <v>359</v>
      </c>
      <c r="H15" s="353">
        <f t="shared" si="34"/>
        <v>17089.100247999999</v>
      </c>
      <c r="I15" s="463">
        <v>0.67</v>
      </c>
      <c r="J15" s="362">
        <v>11900</v>
      </c>
      <c r="K15" s="361">
        <f t="shared" si="10"/>
        <v>11826.924366229863</v>
      </c>
      <c r="L15" s="390">
        <v>11826.924366229863</v>
      </c>
      <c r="M15" s="390">
        <f t="shared" si="11"/>
        <v>0</v>
      </c>
      <c r="N15" s="390"/>
      <c r="O15" s="390">
        <f t="shared" si="0"/>
        <v>12717.122974440712</v>
      </c>
      <c r="P15" s="372">
        <f t="shared" si="1"/>
        <v>115.15746163679999</v>
      </c>
      <c r="Q15" s="373">
        <f t="shared" si="12"/>
        <v>17089.100247999999</v>
      </c>
      <c r="R15" s="374">
        <f t="shared" si="38"/>
        <v>2917.8200495999999</v>
      </c>
      <c r="S15" s="373">
        <f t="shared" si="13"/>
        <v>14056.122736763198</v>
      </c>
      <c r="T15" s="373">
        <f t="shared" si="14"/>
        <v>34178.200495999998</v>
      </c>
      <c r="U15" s="376">
        <f>(T15-25000)*0.27+(25000-Q15)*0.2</f>
        <v>4060.2940843199995</v>
      </c>
      <c r="V15" s="373">
        <f t="shared" si="2"/>
        <v>12913.648702043198</v>
      </c>
      <c r="W15" s="373">
        <f t="shared" si="3"/>
        <v>51267.300743999993</v>
      </c>
      <c r="X15" s="376">
        <f>H15*0.27</f>
        <v>4614.0570669600002</v>
      </c>
      <c r="Y15" s="373">
        <f t="shared" si="4"/>
        <v>12359.885719403197</v>
      </c>
      <c r="Z15" s="373">
        <f t="shared" si="5"/>
        <v>68356.400991999995</v>
      </c>
      <c r="AA15" s="376">
        <f t="shared" si="6"/>
        <v>4614.0570669600002</v>
      </c>
      <c r="AB15" s="373">
        <f t="shared" si="15"/>
        <v>12359.885719403197</v>
      </c>
      <c r="AC15" s="373">
        <f t="shared" si="16"/>
        <v>85445.501239999998</v>
      </c>
      <c r="AD15" s="376">
        <f t="shared" si="17"/>
        <v>4614.0570669600002</v>
      </c>
      <c r="AE15" s="373">
        <f t="shared" si="18"/>
        <v>12359.885719403197</v>
      </c>
      <c r="AF15" s="373">
        <f t="shared" si="19"/>
        <v>102534.60148799999</v>
      </c>
      <c r="AG15" s="377">
        <f>(AF15-88000)*0.35+(88000-AC15)*0.27</f>
        <v>5776.8251859999955</v>
      </c>
      <c r="AH15" s="373">
        <f t="shared" si="21"/>
        <v>11197.117600363203</v>
      </c>
      <c r="AI15" s="373">
        <f t="shared" si="22"/>
        <v>119623.70173599999</v>
      </c>
      <c r="AJ15" s="377">
        <f>H15*0.35</f>
        <v>5981.1850867999992</v>
      </c>
      <c r="AK15" s="373">
        <f t="shared" si="23"/>
        <v>10992.757699563197</v>
      </c>
      <c r="AL15" s="373">
        <f t="shared" si="7"/>
        <v>136712.80198399999</v>
      </c>
      <c r="AM15" s="377">
        <f>H15*0.35</f>
        <v>5981.1850867999992</v>
      </c>
      <c r="AN15" s="373">
        <f t="shared" si="24"/>
        <v>10992.757699563197</v>
      </c>
      <c r="AO15" s="373">
        <f t="shared" si="25"/>
        <v>153801.90223199999</v>
      </c>
      <c r="AP15" s="377">
        <f>H15*0.35</f>
        <v>5981.1850867999992</v>
      </c>
      <c r="AQ15" s="373">
        <f t="shared" si="26"/>
        <v>10992.757699563197</v>
      </c>
      <c r="AR15" s="373">
        <f t="shared" si="27"/>
        <v>170891.00248</v>
      </c>
      <c r="AS15" s="377">
        <f>H15*0.35</f>
        <v>5981.1850867999992</v>
      </c>
      <c r="AT15" s="373">
        <f t="shared" si="29"/>
        <v>10992.757699563197</v>
      </c>
      <c r="AU15" s="373">
        <f t="shared" si="30"/>
        <v>187980.102728</v>
      </c>
      <c r="AV15" s="377">
        <f t="shared" si="31"/>
        <v>5981.1850867999992</v>
      </c>
      <c r="AW15" s="373">
        <f t="shared" si="8"/>
        <v>10992.757699563197</v>
      </c>
      <c r="AX15" s="373">
        <f t="shared" si="9"/>
        <v>205069.20297599997</v>
      </c>
      <c r="AY15" s="377">
        <f t="shared" si="36"/>
        <v>5981.1850867999992</v>
      </c>
      <c r="AZ15" s="373">
        <f t="shared" si="33"/>
        <v>10992.757699563197</v>
      </c>
      <c r="BA15" s="371"/>
      <c r="BC15" s="358"/>
    </row>
    <row r="16" spans="1:55" s="233" customFormat="1" ht="30" customHeight="1" x14ac:dyDescent="0.45">
      <c r="A16" s="730"/>
      <c r="B16" s="547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37"/>
        <v>24980.1</v>
      </c>
      <c r="G16" s="233">
        <v>359</v>
      </c>
      <c r="H16" s="353">
        <f t="shared" si="34"/>
        <v>11141.838039999999</v>
      </c>
      <c r="I16" s="363">
        <v>0.35</v>
      </c>
      <c r="J16" s="362">
        <v>8000</v>
      </c>
      <c r="K16" s="361">
        <f t="shared" si="10"/>
        <v>8000.4558616026688</v>
      </c>
      <c r="L16" s="390">
        <v>8000.4558616026688</v>
      </c>
      <c r="M16" s="390">
        <f t="shared" si="11"/>
        <v>0</v>
      </c>
      <c r="N16" s="390"/>
      <c r="O16" s="390">
        <f t="shared" si="0"/>
        <v>8602.6407114007179</v>
      </c>
      <c r="P16" s="372">
        <f t="shared" si="1"/>
        <v>75.905531063999987</v>
      </c>
      <c r="Q16" s="373">
        <f t="shared" si="12"/>
        <v>11141.838039999999</v>
      </c>
      <c r="R16" s="374">
        <f t="shared" si="38"/>
        <v>1728.3676079999998</v>
      </c>
      <c r="S16" s="373">
        <f t="shared" si="13"/>
        <v>9337.5649009359986</v>
      </c>
      <c r="T16" s="373">
        <f t="shared" si="14"/>
        <v>22283.676079999997</v>
      </c>
      <c r="U16" s="374">
        <f>H16*0.2</f>
        <v>2228.367608</v>
      </c>
      <c r="V16" s="373">
        <f t="shared" si="2"/>
        <v>8837.5649009359986</v>
      </c>
      <c r="W16" s="373">
        <f t="shared" si="3"/>
        <v>33425.514119999993</v>
      </c>
      <c r="X16" s="376">
        <f>(W16-25000)*0.27+(25000-T16)*0.2</f>
        <v>2818.1535963999986</v>
      </c>
      <c r="Y16" s="373">
        <f t="shared" si="4"/>
        <v>8247.7789125359996</v>
      </c>
      <c r="Z16" s="373">
        <f t="shared" si="5"/>
        <v>44567.352159999995</v>
      </c>
      <c r="AA16" s="376">
        <f t="shared" si="6"/>
        <v>3008.2962708</v>
      </c>
      <c r="AB16" s="373">
        <f t="shared" si="15"/>
        <v>8057.6362381359995</v>
      </c>
      <c r="AC16" s="373">
        <f t="shared" si="16"/>
        <v>55709.190199999997</v>
      </c>
      <c r="AD16" s="376">
        <f t="shared" si="17"/>
        <v>3008.2962708</v>
      </c>
      <c r="AE16" s="373">
        <f t="shared" si="18"/>
        <v>8057.6362381359995</v>
      </c>
      <c r="AF16" s="373">
        <f t="shared" si="19"/>
        <v>66851.028239999985</v>
      </c>
      <c r="AG16" s="376">
        <f t="shared" ref="AG16:AG26" si="40">H16*0.27</f>
        <v>3008.2962708</v>
      </c>
      <c r="AH16" s="373">
        <f t="shared" si="21"/>
        <v>8057.6362381359995</v>
      </c>
      <c r="AI16" s="373">
        <f t="shared" si="22"/>
        <v>77992.866279999987</v>
      </c>
      <c r="AJ16" s="376">
        <f>H16*0.27</f>
        <v>3008.2962708</v>
      </c>
      <c r="AK16" s="373">
        <f t="shared" si="23"/>
        <v>8057.6362381359995</v>
      </c>
      <c r="AL16" s="373">
        <f t="shared" si="7"/>
        <v>89134.70431999999</v>
      </c>
      <c r="AM16" s="377">
        <f>(AL16-88000)*0.35+(88000-AI16)*0.27</f>
        <v>3099.0726163999998</v>
      </c>
      <c r="AN16" s="373">
        <f t="shared" si="24"/>
        <v>7966.8598925359993</v>
      </c>
      <c r="AO16" s="373">
        <f t="shared" si="25"/>
        <v>100276.54235999999</v>
      </c>
      <c r="AP16" s="377">
        <f>H16*0.35</f>
        <v>3899.6433139999995</v>
      </c>
      <c r="AQ16" s="373">
        <f t="shared" si="26"/>
        <v>7166.2891949360001</v>
      </c>
      <c r="AR16" s="373">
        <f t="shared" si="27"/>
        <v>111418.38039999999</v>
      </c>
      <c r="AS16" s="377">
        <f>H16*0.35</f>
        <v>3899.6433139999995</v>
      </c>
      <c r="AT16" s="373">
        <f t="shared" si="29"/>
        <v>7166.2891949360001</v>
      </c>
      <c r="AU16" s="373">
        <f t="shared" si="30"/>
        <v>122560.21843999998</v>
      </c>
      <c r="AV16" s="377">
        <f t="shared" si="31"/>
        <v>3899.6433139999995</v>
      </c>
      <c r="AW16" s="373">
        <f t="shared" si="8"/>
        <v>7166.2891949360001</v>
      </c>
      <c r="AX16" s="373">
        <f t="shared" si="9"/>
        <v>133702.05647999997</v>
      </c>
      <c r="AY16" s="377">
        <f t="shared" si="36"/>
        <v>3899.6433139999995</v>
      </c>
      <c r="AZ16" s="373">
        <f t="shared" si="33"/>
        <v>7166.2891949360001</v>
      </c>
      <c r="BA16" s="371"/>
      <c r="BC16" s="358"/>
    </row>
    <row r="17" spans="1:55" s="233" customFormat="1" ht="30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37"/>
        <v>24980.1</v>
      </c>
      <c r="G17" s="233">
        <v>359</v>
      </c>
      <c r="H17" s="353">
        <f t="shared" si="34"/>
        <v>9283.3185999999987</v>
      </c>
      <c r="I17" s="363">
        <v>0.25</v>
      </c>
      <c r="J17" s="362">
        <v>6804</v>
      </c>
      <c r="K17" s="361">
        <f t="shared" si="10"/>
        <v>6804.684453906666</v>
      </c>
      <c r="L17" s="390">
        <v>6804.684453906666</v>
      </c>
      <c r="M17" s="390">
        <f t="shared" si="11"/>
        <v>0</v>
      </c>
      <c r="N17" s="390"/>
      <c r="O17" s="390">
        <f t="shared" si="0"/>
        <v>7316.8650042007157</v>
      </c>
      <c r="P17" s="372">
        <f t="shared" si="1"/>
        <v>63.639302759999993</v>
      </c>
      <c r="Q17" s="373">
        <f t="shared" si="12"/>
        <v>9283.3185999999987</v>
      </c>
      <c r="R17" s="378">
        <f>Q17*0.15</f>
        <v>1392.4977899999997</v>
      </c>
      <c r="S17" s="373">
        <f t="shared" si="13"/>
        <v>7827.1815072399986</v>
      </c>
      <c r="T17" s="373">
        <f t="shared" si="14"/>
        <v>18566.637199999997</v>
      </c>
      <c r="U17" s="374">
        <f>(T17-10000)*0.2+(10000-Q17)*0.15</f>
        <v>1820.8296499999997</v>
      </c>
      <c r="V17" s="373">
        <f t="shared" si="2"/>
        <v>7398.8496472399984</v>
      </c>
      <c r="W17" s="373">
        <f t="shared" si="3"/>
        <v>27849.955799999996</v>
      </c>
      <c r="X17" s="376">
        <f>(W17-25000)*0.27+(25000-T17)*0.2</f>
        <v>2056.1606259999999</v>
      </c>
      <c r="Y17" s="373">
        <f t="shared" si="4"/>
        <v>7163.5186712399982</v>
      </c>
      <c r="Z17" s="373">
        <f t="shared" si="5"/>
        <v>37133.274399999995</v>
      </c>
      <c r="AA17" s="376">
        <f t="shared" si="6"/>
        <v>2506.4960219999998</v>
      </c>
      <c r="AB17" s="373">
        <f t="shared" si="15"/>
        <v>6713.1832752399987</v>
      </c>
      <c r="AC17" s="373">
        <f t="shared" si="16"/>
        <v>46416.592999999993</v>
      </c>
      <c r="AD17" s="376">
        <f t="shared" si="17"/>
        <v>2506.4960219999998</v>
      </c>
      <c r="AE17" s="373">
        <f t="shared" si="18"/>
        <v>6713.1832752399987</v>
      </c>
      <c r="AF17" s="373">
        <f t="shared" si="19"/>
        <v>55699.911599999992</v>
      </c>
      <c r="AG17" s="376">
        <f t="shared" si="40"/>
        <v>2506.4960219999998</v>
      </c>
      <c r="AH17" s="373">
        <f t="shared" si="21"/>
        <v>6713.1832752399987</v>
      </c>
      <c r="AI17" s="373">
        <f t="shared" si="22"/>
        <v>64983.230199999991</v>
      </c>
      <c r="AJ17" s="376">
        <f>H17*0.27</f>
        <v>2506.4960219999998</v>
      </c>
      <c r="AK17" s="373">
        <f t="shared" si="23"/>
        <v>6713.1832752399987</v>
      </c>
      <c r="AL17" s="373">
        <f t="shared" si="7"/>
        <v>74266.54879999999</v>
      </c>
      <c r="AM17" s="376">
        <f>H17*0.27</f>
        <v>2506.4960219999998</v>
      </c>
      <c r="AN17" s="373">
        <f t="shared" si="24"/>
        <v>6713.1832752399987</v>
      </c>
      <c r="AO17" s="373">
        <f t="shared" si="25"/>
        <v>83549.867399999988</v>
      </c>
      <c r="AP17" s="376">
        <f>H17*0.27</f>
        <v>2506.4960219999998</v>
      </c>
      <c r="AQ17" s="373">
        <f t="shared" si="26"/>
        <v>6713.1832752399987</v>
      </c>
      <c r="AR17" s="373">
        <f t="shared" si="27"/>
        <v>92833.185999999987</v>
      </c>
      <c r="AS17" s="377">
        <f>(AR17-88000)*0.35+(88000-AO17)*0.27</f>
        <v>2893.1509019999985</v>
      </c>
      <c r="AT17" s="373">
        <f t="shared" si="29"/>
        <v>6326.5283952399996</v>
      </c>
      <c r="AU17" s="373">
        <f t="shared" si="30"/>
        <v>102116.50459999999</v>
      </c>
      <c r="AV17" s="377">
        <f t="shared" si="31"/>
        <v>3249.1615099999995</v>
      </c>
      <c r="AW17" s="373">
        <f t="shared" si="8"/>
        <v>5970.5177872399981</v>
      </c>
      <c r="AX17" s="373">
        <f t="shared" si="9"/>
        <v>111399.82319999998</v>
      </c>
      <c r="AY17" s="377">
        <f t="shared" si="36"/>
        <v>3249.1615099999995</v>
      </c>
      <c r="AZ17" s="373">
        <f t="shared" si="33"/>
        <v>5970.5177872399981</v>
      </c>
      <c r="BA17" s="371"/>
      <c r="BC17" s="358"/>
    </row>
    <row r="18" spans="1:55" s="233" customFormat="1" ht="30" customHeight="1" x14ac:dyDescent="0.45">
      <c r="A18" s="730"/>
      <c r="B18" s="547" t="s">
        <v>32</v>
      </c>
      <c r="C18" s="231">
        <v>450</v>
      </c>
      <c r="D18" s="234">
        <v>4996.0199999999995</v>
      </c>
      <c r="E18" s="234">
        <v>14988.06</v>
      </c>
      <c r="F18" s="234">
        <f t="shared" si="37"/>
        <v>19984.079999999998</v>
      </c>
      <c r="G18" s="233">
        <v>359</v>
      </c>
      <c r="H18" s="353">
        <f t="shared" si="34"/>
        <v>13418.524354000001</v>
      </c>
      <c r="I18" s="463">
        <v>0.63</v>
      </c>
      <c r="J18" s="362">
        <v>9500</v>
      </c>
      <c r="K18" s="361">
        <f t="shared" si="10"/>
        <v>9465.2758360302669</v>
      </c>
      <c r="L18" s="390">
        <v>9465.2758360302669</v>
      </c>
      <c r="M18" s="390">
        <f t="shared" si="11"/>
        <v>0</v>
      </c>
      <c r="N18" s="390"/>
      <c r="O18" s="390">
        <f t="shared" si="0"/>
        <v>10177.715952720717</v>
      </c>
      <c r="P18" s="372">
        <f t="shared" si="1"/>
        <v>90.931660736400005</v>
      </c>
      <c r="Q18" s="373">
        <f t="shared" si="12"/>
        <v>13418.524354000001</v>
      </c>
      <c r="R18" s="374">
        <f t="shared" si="38"/>
        <v>2183.7048708000002</v>
      </c>
      <c r="S18" s="373">
        <f t="shared" si="13"/>
        <v>11143.887822463601</v>
      </c>
      <c r="T18" s="373">
        <f t="shared" si="14"/>
        <v>26837.048708000002</v>
      </c>
      <c r="U18" s="376">
        <f>(T18-25000)*0.27+(25000-Q18)*0.2</f>
        <v>2812.2982803600003</v>
      </c>
      <c r="V18" s="373">
        <f t="shared" si="2"/>
        <v>10515.2944129036</v>
      </c>
      <c r="W18" s="373">
        <f t="shared" si="3"/>
        <v>40255.573062000003</v>
      </c>
      <c r="X18" s="376">
        <f>H18*0.27</f>
        <v>3623.0015755800005</v>
      </c>
      <c r="Y18" s="373">
        <f t="shared" si="4"/>
        <v>9704.5911176836016</v>
      </c>
      <c r="Z18" s="373">
        <f t="shared" si="5"/>
        <v>53674.097416000004</v>
      </c>
      <c r="AA18" s="376">
        <f t="shared" si="6"/>
        <v>3623.0015755800005</v>
      </c>
      <c r="AB18" s="373">
        <f t="shared" si="15"/>
        <v>9704.5911176836016</v>
      </c>
      <c r="AC18" s="373">
        <f t="shared" si="16"/>
        <v>67092.621769999998</v>
      </c>
      <c r="AD18" s="376">
        <f t="shared" si="17"/>
        <v>3623.0015755800005</v>
      </c>
      <c r="AE18" s="373">
        <f t="shared" si="18"/>
        <v>9704.5911176836016</v>
      </c>
      <c r="AF18" s="373">
        <f t="shared" si="19"/>
        <v>80511.146124000006</v>
      </c>
      <c r="AG18" s="376">
        <f t="shared" si="40"/>
        <v>3623.0015755800005</v>
      </c>
      <c r="AH18" s="373">
        <f t="shared" si="21"/>
        <v>9704.5911176836016</v>
      </c>
      <c r="AI18" s="373">
        <f t="shared" si="22"/>
        <v>93929.670478000015</v>
      </c>
      <c r="AJ18" s="377">
        <f>(AI18-88000)*0.35+(88000-AF18)*0.27</f>
        <v>4097.3752138200034</v>
      </c>
      <c r="AK18" s="373">
        <f t="shared" si="23"/>
        <v>9230.2174794435978</v>
      </c>
      <c r="AL18" s="373">
        <f t="shared" si="7"/>
        <v>107348.19483200001</v>
      </c>
      <c r="AM18" s="377">
        <f>H18*0.35</f>
        <v>4696.4835239000004</v>
      </c>
      <c r="AN18" s="373">
        <f t="shared" si="24"/>
        <v>8631.1091693636008</v>
      </c>
      <c r="AO18" s="373">
        <f t="shared" si="25"/>
        <v>120766.719186</v>
      </c>
      <c r="AP18" s="377">
        <f>H18*0.35</f>
        <v>4696.4835239000004</v>
      </c>
      <c r="AQ18" s="373">
        <f t="shared" si="26"/>
        <v>8631.1091693636008</v>
      </c>
      <c r="AR18" s="373">
        <f t="shared" si="27"/>
        <v>134185.24354</v>
      </c>
      <c r="AS18" s="377">
        <f>H18*0.35</f>
        <v>4696.4835239000004</v>
      </c>
      <c r="AT18" s="373">
        <f t="shared" si="29"/>
        <v>8631.1091693636008</v>
      </c>
      <c r="AU18" s="373">
        <f t="shared" si="30"/>
        <v>147603.76789400002</v>
      </c>
      <c r="AV18" s="377">
        <f t="shared" si="31"/>
        <v>4696.4835239000004</v>
      </c>
      <c r="AW18" s="373">
        <f t="shared" si="8"/>
        <v>8631.1091693636008</v>
      </c>
      <c r="AX18" s="373">
        <f t="shared" si="9"/>
        <v>161022.29224800001</v>
      </c>
      <c r="AY18" s="377">
        <f t="shared" si="36"/>
        <v>4696.4835239000004</v>
      </c>
      <c r="AZ18" s="373">
        <f t="shared" si="33"/>
        <v>8631.1091693636008</v>
      </c>
      <c r="BA18" s="371"/>
      <c r="BC18" s="358"/>
    </row>
    <row r="19" spans="1:55" s="233" customFormat="1" ht="30" customHeight="1" x14ac:dyDescent="0.45">
      <c r="A19" s="730"/>
      <c r="B19" s="547" t="s">
        <v>237</v>
      </c>
      <c r="C19" s="231">
        <v>450</v>
      </c>
      <c r="D19" s="234">
        <v>4996.0199999999995</v>
      </c>
      <c r="E19" s="234">
        <v>14988.06</v>
      </c>
      <c r="F19" s="234">
        <f t="shared" si="37"/>
        <v>19984.079999999998</v>
      </c>
      <c r="G19" s="233">
        <v>359</v>
      </c>
      <c r="H19" s="353">
        <f t="shared" si="34"/>
        <v>11606.4679</v>
      </c>
      <c r="I19" s="463">
        <v>0.5</v>
      </c>
      <c r="J19" s="362">
        <v>8300</v>
      </c>
      <c r="K19" s="361">
        <f t="shared" si="10"/>
        <v>8299.3987135266634</v>
      </c>
      <c r="L19" s="390">
        <v>8299.3987135266634</v>
      </c>
      <c r="M19" s="390">
        <f t="shared" si="11"/>
        <v>0</v>
      </c>
      <c r="N19" s="390"/>
      <c r="O19" s="390">
        <f t="shared" si="0"/>
        <v>8924.084638200713</v>
      </c>
      <c r="P19" s="372">
        <f t="shared" si="1"/>
        <v>78.972088139999997</v>
      </c>
      <c r="Q19" s="373">
        <f t="shared" si="12"/>
        <v>11606.4679</v>
      </c>
      <c r="R19" s="374">
        <f t="shared" si="38"/>
        <v>1821.29358</v>
      </c>
      <c r="S19" s="373">
        <f t="shared" si="13"/>
        <v>9706.2022318599993</v>
      </c>
      <c r="T19" s="373">
        <f t="shared" si="14"/>
        <v>23212.935799999999</v>
      </c>
      <c r="U19" s="374">
        <f>H19*0.2</f>
        <v>2321.29358</v>
      </c>
      <c r="V19" s="373">
        <f t="shared" si="2"/>
        <v>9206.2022318599993</v>
      </c>
      <c r="W19" s="373">
        <f t="shared" si="3"/>
        <v>34819.403699999995</v>
      </c>
      <c r="X19" s="376">
        <f>(W19-25000)*0.27+(25000-T19)*0.2</f>
        <v>3008.6518389999992</v>
      </c>
      <c r="Y19" s="373">
        <f t="shared" si="4"/>
        <v>8518.8439728599988</v>
      </c>
      <c r="Z19" s="373">
        <f t="shared" si="5"/>
        <v>46425.871599999999</v>
      </c>
      <c r="AA19" s="376">
        <f t="shared" si="6"/>
        <v>3133.746333</v>
      </c>
      <c r="AB19" s="373">
        <f t="shared" si="15"/>
        <v>8393.7494788599979</v>
      </c>
      <c r="AC19" s="373">
        <f t="shared" si="16"/>
        <v>58032.339500000002</v>
      </c>
      <c r="AD19" s="376">
        <f t="shared" si="17"/>
        <v>3133.746333</v>
      </c>
      <c r="AE19" s="373">
        <f t="shared" si="18"/>
        <v>8393.7494788599979</v>
      </c>
      <c r="AF19" s="373">
        <f t="shared" si="19"/>
        <v>69638.807399999991</v>
      </c>
      <c r="AG19" s="376">
        <f t="shared" si="40"/>
        <v>3133.746333</v>
      </c>
      <c r="AH19" s="373">
        <f t="shared" si="21"/>
        <v>8393.7494788599979</v>
      </c>
      <c r="AI19" s="373">
        <f t="shared" si="22"/>
        <v>81245.275299999994</v>
      </c>
      <c r="AJ19" s="376">
        <f t="shared" ref="AJ19:AJ26" si="41">H19*0.27</f>
        <v>3133.746333</v>
      </c>
      <c r="AK19" s="373">
        <f t="shared" si="23"/>
        <v>8393.7494788599979</v>
      </c>
      <c r="AL19" s="373">
        <f t="shared" si="7"/>
        <v>92851.743199999997</v>
      </c>
      <c r="AM19" s="377">
        <f>(AL19-88000)*0.35+(88000-AI19)*0.27</f>
        <v>3521.8857890000008</v>
      </c>
      <c r="AN19" s="373">
        <f t="shared" si="24"/>
        <v>8005.610022859998</v>
      </c>
      <c r="AO19" s="373">
        <f t="shared" si="25"/>
        <v>104458.2111</v>
      </c>
      <c r="AP19" s="377">
        <f>H19*0.35</f>
        <v>4062.2637649999997</v>
      </c>
      <c r="AQ19" s="373">
        <f t="shared" si="26"/>
        <v>7465.2320468599992</v>
      </c>
      <c r="AR19" s="373">
        <f t="shared" si="27"/>
        <v>116064.679</v>
      </c>
      <c r="AS19" s="377">
        <f>H19*0.35</f>
        <v>4062.2637649999997</v>
      </c>
      <c r="AT19" s="373">
        <f t="shared" si="29"/>
        <v>7465.2320468599992</v>
      </c>
      <c r="AU19" s="373">
        <f t="shared" si="30"/>
        <v>127671.14689999999</v>
      </c>
      <c r="AV19" s="377">
        <f t="shared" si="31"/>
        <v>4062.2637649999997</v>
      </c>
      <c r="AW19" s="373">
        <f t="shared" si="8"/>
        <v>7465.2320468599992</v>
      </c>
      <c r="AX19" s="373">
        <f t="shared" si="9"/>
        <v>139277.61479999998</v>
      </c>
      <c r="AY19" s="377">
        <f t="shared" si="36"/>
        <v>4062.2637649999997</v>
      </c>
      <c r="AZ19" s="373">
        <f t="shared" si="33"/>
        <v>7465.2320468599992</v>
      </c>
      <c r="BA19" s="371"/>
      <c r="BC19" s="358"/>
    </row>
    <row r="20" spans="1:55" s="233" customFormat="1" ht="30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34"/>
        <v>10119.652348</v>
      </c>
      <c r="I20" s="463">
        <v>0.59</v>
      </c>
      <c r="J20" s="362">
        <v>7300</v>
      </c>
      <c r="K20" s="361">
        <f t="shared" si="10"/>
        <v>7342.7815873698664</v>
      </c>
      <c r="L20" s="390">
        <v>7282.9930169850659</v>
      </c>
      <c r="M20" s="390">
        <f t="shared" si="11"/>
        <v>-59.788570384800551</v>
      </c>
      <c r="N20" s="390"/>
      <c r="O20" s="390">
        <f t="shared" si="0"/>
        <v>7895.4640724407163</v>
      </c>
      <c r="P20" s="372">
        <f t="shared" si="1"/>
        <v>69.159105496799995</v>
      </c>
      <c r="Q20" s="373">
        <f t="shared" si="12"/>
        <v>10119.652348</v>
      </c>
      <c r="R20" s="374">
        <f t="shared" si="38"/>
        <v>1523.9304695999999</v>
      </c>
      <c r="S20" s="373">
        <f t="shared" si="13"/>
        <v>8526.5627729032003</v>
      </c>
      <c r="T20" s="373">
        <f t="shared" si="14"/>
        <v>20239.304695999999</v>
      </c>
      <c r="U20" s="374">
        <f>H20*0.2</f>
        <v>2023.9304695999999</v>
      </c>
      <c r="V20" s="373">
        <f t="shared" si="2"/>
        <v>8026.5627729032003</v>
      </c>
      <c r="W20" s="373">
        <f t="shared" si="3"/>
        <v>30358.957043999999</v>
      </c>
      <c r="X20" s="376">
        <f>(W20-25000)*0.27+(25000-T20)*0.2</f>
        <v>2399.0574626799998</v>
      </c>
      <c r="Y20" s="373">
        <f t="shared" si="4"/>
        <v>7651.4357798232004</v>
      </c>
      <c r="Z20" s="373">
        <f t="shared" si="5"/>
        <v>40478.609391999998</v>
      </c>
      <c r="AA20" s="376">
        <f t="shared" si="6"/>
        <v>2732.3061339599999</v>
      </c>
      <c r="AB20" s="373">
        <f t="shared" si="15"/>
        <v>7318.1871085432003</v>
      </c>
      <c r="AC20" s="373">
        <f t="shared" si="16"/>
        <v>50598.261740000002</v>
      </c>
      <c r="AD20" s="376">
        <f t="shared" si="17"/>
        <v>2732.3061339599999</v>
      </c>
      <c r="AE20" s="373">
        <f t="shared" si="18"/>
        <v>7318.1871085432003</v>
      </c>
      <c r="AF20" s="373">
        <f t="shared" si="19"/>
        <v>60717.914087999998</v>
      </c>
      <c r="AG20" s="376">
        <f t="shared" si="40"/>
        <v>2732.3061339599999</v>
      </c>
      <c r="AH20" s="373">
        <f t="shared" si="21"/>
        <v>7318.1871085432003</v>
      </c>
      <c r="AI20" s="373">
        <f t="shared" si="22"/>
        <v>70837.566435999994</v>
      </c>
      <c r="AJ20" s="376">
        <f t="shared" si="41"/>
        <v>2732.3061339599999</v>
      </c>
      <c r="AK20" s="373">
        <f t="shared" si="23"/>
        <v>7318.1871085432003</v>
      </c>
      <c r="AL20" s="373">
        <f t="shared" si="7"/>
        <v>80957.218783999997</v>
      </c>
      <c r="AM20" s="376">
        <f t="shared" ref="AM20:AM27" si="42">H20*0.27</f>
        <v>2732.3061339599999</v>
      </c>
      <c r="AN20" s="373">
        <f t="shared" si="24"/>
        <v>7318.1871085432003</v>
      </c>
      <c r="AO20" s="373">
        <f t="shared" si="25"/>
        <v>91076.871132</v>
      </c>
      <c r="AP20" s="377">
        <f>(AO20-88000)*0.35+(88000-AL20)*0.27</f>
        <v>2978.455824520001</v>
      </c>
      <c r="AQ20" s="373">
        <f t="shared" si="26"/>
        <v>7072.0374179831997</v>
      </c>
      <c r="AR20" s="373">
        <f t="shared" si="27"/>
        <v>101196.52348</v>
      </c>
      <c r="AS20" s="377">
        <f>H20*0.35</f>
        <v>3541.8783217999999</v>
      </c>
      <c r="AT20" s="373">
        <f t="shared" si="29"/>
        <v>6508.6149207032004</v>
      </c>
      <c r="AU20" s="373">
        <f t="shared" si="30"/>
        <v>111316.17582799999</v>
      </c>
      <c r="AV20" s="377">
        <f t="shared" si="31"/>
        <v>3541.8783217999999</v>
      </c>
      <c r="AW20" s="373">
        <f t="shared" si="8"/>
        <v>6508.6149207032004</v>
      </c>
      <c r="AX20" s="373">
        <f t="shared" si="9"/>
        <v>121435.828176</v>
      </c>
      <c r="AY20" s="377">
        <f t="shared" si="36"/>
        <v>3541.8783217999999</v>
      </c>
      <c r="AZ20" s="373">
        <f t="shared" si="33"/>
        <v>6508.6149207032004</v>
      </c>
      <c r="BA20" s="371"/>
      <c r="BC20" s="358"/>
    </row>
    <row r="21" spans="1:55" s="233" customFormat="1" ht="30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34"/>
        <v>9747.9484599999996</v>
      </c>
      <c r="I21" s="363">
        <v>0.55000000000000004</v>
      </c>
      <c r="J21" s="362">
        <v>7100</v>
      </c>
      <c r="K21" s="361">
        <f t="shared" si="10"/>
        <v>7103.627305830666</v>
      </c>
      <c r="L21" s="390">
        <v>7103.627305830666</v>
      </c>
      <c r="M21" s="390">
        <f t="shared" si="11"/>
        <v>0</v>
      </c>
      <c r="N21" s="390"/>
      <c r="O21" s="390">
        <f t="shared" si="0"/>
        <v>7638.3089310007153</v>
      </c>
      <c r="P21" s="372">
        <f t="shared" si="1"/>
        <v>66.705859836000002</v>
      </c>
      <c r="Q21" s="373">
        <f t="shared" si="12"/>
        <v>9747.9484599999996</v>
      </c>
      <c r="R21" s="378">
        <f>Q21*0.15</f>
        <v>1462.1922689999999</v>
      </c>
      <c r="S21" s="373">
        <f t="shared" si="13"/>
        <v>8219.0503311640005</v>
      </c>
      <c r="T21" s="373">
        <f t="shared" si="14"/>
        <v>19495.896919999999</v>
      </c>
      <c r="U21" s="374">
        <f>(T21-10000)*0.2+(10000-Q21)*0.15</f>
        <v>1936.9871150000001</v>
      </c>
      <c r="V21" s="373">
        <f t="shared" si="2"/>
        <v>7744.2554851639998</v>
      </c>
      <c r="W21" s="373">
        <f t="shared" si="3"/>
        <v>29243.845379999999</v>
      </c>
      <c r="X21" s="376">
        <f>(W21-25000)*0.27+(25000-T21)*0.2</f>
        <v>2246.6588686</v>
      </c>
      <c r="Y21" s="373">
        <f t="shared" si="4"/>
        <v>7434.5837315640001</v>
      </c>
      <c r="Z21" s="373">
        <f t="shared" si="5"/>
        <v>38991.793839999998</v>
      </c>
      <c r="AA21" s="376">
        <f t="shared" si="6"/>
        <v>2631.9460841999999</v>
      </c>
      <c r="AB21" s="373">
        <f t="shared" si="15"/>
        <v>7049.2965159639998</v>
      </c>
      <c r="AC21" s="373">
        <f t="shared" si="16"/>
        <v>48739.742299999998</v>
      </c>
      <c r="AD21" s="376">
        <f t="shared" si="17"/>
        <v>2631.9460841999999</v>
      </c>
      <c r="AE21" s="373">
        <f t="shared" si="18"/>
        <v>7049.2965159639998</v>
      </c>
      <c r="AF21" s="373">
        <f t="shared" si="19"/>
        <v>58487.690759999998</v>
      </c>
      <c r="AG21" s="376">
        <f t="shared" si="40"/>
        <v>2631.9460841999999</v>
      </c>
      <c r="AH21" s="373">
        <f t="shared" si="21"/>
        <v>7049.2965159639998</v>
      </c>
      <c r="AI21" s="373">
        <f t="shared" si="22"/>
        <v>68235.639219999997</v>
      </c>
      <c r="AJ21" s="376">
        <f t="shared" si="41"/>
        <v>2631.9460841999999</v>
      </c>
      <c r="AK21" s="373">
        <f t="shared" si="23"/>
        <v>7049.2965159639998</v>
      </c>
      <c r="AL21" s="373">
        <f t="shared" si="7"/>
        <v>77983.587679999997</v>
      </c>
      <c r="AM21" s="376">
        <f t="shared" si="42"/>
        <v>2631.9460841999999</v>
      </c>
      <c r="AN21" s="373">
        <f t="shared" si="24"/>
        <v>7049.2965159639998</v>
      </c>
      <c r="AO21" s="373">
        <f t="shared" si="25"/>
        <v>87731.536139999997</v>
      </c>
      <c r="AP21" s="376">
        <f t="shared" ref="AP21:AP27" si="43">H21*0.27</f>
        <v>2631.9460841999999</v>
      </c>
      <c r="AQ21" s="373">
        <f t="shared" si="26"/>
        <v>7049.2965159639998</v>
      </c>
      <c r="AR21" s="373">
        <f t="shared" si="27"/>
        <v>97479.484599999996</v>
      </c>
      <c r="AS21" s="377">
        <f>(AR21-88000)*0.35+(88000-AO21)*0.27</f>
        <v>3390.3048521999995</v>
      </c>
      <c r="AT21" s="373">
        <f t="shared" si="29"/>
        <v>6290.9377479640007</v>
      </c>
      <c r="AU21" s="373">
        <f t="shared" si="30"/>
        <v>107227.43306</v>
      </c>
      <c r="AV21" s="377">
        <f t="shared" si="31"/>
        <v>3411.7819609999997</v>
      </c>
      <c r="AW21" s="373">
        <f t="shared" si="8"/>
        <v>6269.460639164</v>
      </c>
      <c r="AX21" s="373">
        <f t="shared" si="9"/>
        <v>116975.38152</v>
      </c>
      <c r="AY21" s="377">
        <f t="shared" si="36"/>
        <v>3411.7819609999997</v>
      </c>
      <c r="AZ21" s="373">
        <f t="shared" si="33"/>
        <v>6269.460639164</v>
      </c>
      <c r="BA21" s="371"/>
      <c r="BC21" s="358"/>
    </row>
    <row r="22" spans="1:55" s="233" customFormat="1" ht="30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34"/>
        <v>9376.2445719999996</v>
      </c>
      <c r="I22" s="463">
        <v>0.51</v>
      </c>
      <c r="J22" s="362">
        <v>6900</v>
      </c>
      <c r="K22" s="361">
        <f t="shared" si="10"/>
        <v>6864.4730242914638</v>
      </c>
      <c r="L22" s="390">
        <v>6864.4730242914638</v>
      </c>
      <c r="M22" s="390">
        <f t="shared" si="11"/>
        <v>0</v>
      </c>
      <c r="N22" s="390"/>
      <c r="O22" s="390">
        <f t="shared" si="0"/>
        <v>7381.1537895607134</v>
      </c>
      <c r="P22" s="372">
        <f t="shared" si="1"/>
        <v>64.252614175199994</v>
      </c>
      <c r="Q22" s="373">
        <f t="shared" si="12"/>
        <v>9376.2445719999996</v>
      </c>
      <c r="R22" s="378">
        <f>Q22*0.15</f>
        <v>1406.4366857999999</v>
      </c>
      <c r="S22" s="373">
        <f t="shared" si="13"/>
        <v>7905.5552720247997</v>
      </c>
      <c r="T22" s="373">
        <f t="shared" si="14"/>
        <v>18752.489143999999</v>
      </c>
      <c r="U22" s="374">
        <f>(T22-10000)*0.2+(10000-Q22)*0.15</f>
        <v>1844.0611430000001</v>
      </c>
      <c r="V22" s="373">
        <f t="shared" si="2"/>
        <v>7467.9308148247992</v>
      </c>
      <c r="W22" s="373">
        <f t="shared" si="3"/>
        <v>28128.733715999999</v>
      </c>
      <c r="X22" s="376">
        <f>(W22-25000)*0.27+(25000-T22)*0.2</f>
        <v>2094.2602745200002</v>
      </c>
      <c r="Y22" s="373">
        <f t="shared" si="4"/>
        <v>7217.7316833047989</v>
      </c>
      <c r="Z22" s="373">
        <f t="shared" si="5"/>
        <v>37504.978287999998</v>
      </c>
      <c r="AA22" s="376">
        <f t="shared" si="6"/>
        <v>2531.5860344400003</v>
      </c>
      <c r="AB22" s="373">
        <f t="shared" si="15"/>
        <v>6780.4059233847984</v>
      </c>
      <c r="AC22" s="373">
        <f t="shared" si="16"/>
        <v>46881.222859999994</v>
      </c>
      <c r="AD22" s="376">
        <f t="shared" si="17"/>
        <v>2531.5860344400003</v>
      </c>
      <c r="AE22" s="373">
        <f t="shared" si="18"/>
        <v>6780.4059233847984</v>
      </c>
      <c r="AF22" s="373">
        <f t="shared" si="19"/>
        <v>56257.467431999998</v>
      </c>
      <c r="AG22" s="376">
        <f t="shared" si="40"/>
        <v>2531.5860344400003</v>
      </c>
      <c r="AH22" s="373">
        <f t="shared" si="21"/>
        <v>6780.4059233847984</v>
      </c>
      <c r="AI22" s="373">
        <f t="shared" si="22"/>
        <v>65633.712004000001</v>
      </c>
      <c r="AJ22" s="376">
        <f t="shared" si="41"/>
        <v>2531.5860344400003</v>
      </c>
      <c r="AK22" s="373">
        <f t="shared" si="23"/>
        <v>6780.4059233847984</v>
      </c>
      <c r="AL22" s="373">
        <f t="shared" si="7"/>
        <v>75009.956575999997</v>
      </c>
      <c r="AM22" s="376">
        <f t="shared" si="42"/>
        <v>2531.5860344400003</v>
      </c>
      <c r="AN22" s="373">
        <f t="shared" si="24"/>
        <v>6780.4059233847984</v>
      </c>
      <c r="AO22" s="373">
        <f t="shared" si="25"/>
        <v>84386.201147999993</v>
      </c>
      <c r="AP22" s="376">
        <f t="shared" si="43"/>
        <v>2531.5860344400003</v>
      </c>
      <c r="AQ22" s="373">
        <f t="shared" si="26"/>
        <v>6780.4059233847984</v>
      </c>
      <c r="AR22" s="373">
        <f t="shared" si="27"/>
        <v>93762.445719999989</v>
      </c>
      <c r="AS22" s="377">
        <f>(AR22-88000)*0.35+(88000-AO22)*0.27</f>
        <v>2992.581692039998</v>
      </c>
      <c r="AT22" s="373">
        <f t="shared" si="29"/>
        <v>6319.4102657848016</v>
      </c>
      <c r="AU22" s="373">
        <f t="shared" si="30"/>
        <v>103138.690292</v>
      </c>
      <c r="AV22" s="377">
        <f t="shared" si="31"/>
        <v>3281.6856001999995</v>
      </c>
      <c r="AW22" s="373">
        <f t="shared" si="8"/>
        <v>6030.3063576247996</v>
      </c>
      <c r="AX22" s="373">
        <f t="shared" si="9"/>
        <v>112514.934864</v>
      </c>
      <c r="AY22" s="377">
        <f t="shared" si="36"/>
        <v>3281.6856001999995</v>
      </c>
      <c r="AZ22" s="373">
        <f t="shared" si="33"/>
        <v>6030.3063576247996</v>
      </c>
      <c r="BA22" s="371"/>
      <c r="BC22" s="358"/>
    </row>
    <row r="23" spans="1:55" s="233" customFormat="1" ht="30" customHeight="1" x14ac:dyDescent="0.45">
      <c r="A23" s="730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34"/>
        <v>6309.6874959999996</v>
      </c>
      <c r="I23" s="464">
        <v>0.18</v>
      </c>
      <c r="J23" s="362">
        <v>4900</v>
      </c>
      <c r="K23" s="361">
        <f t="shared" si="10"/>
        <v>4809.5585346064008</v>
      </c>
      <c r="L23" s="390">
        <v>4809.5585346064008</v>
      </c>
      <c r="M23" s="390">
        <f t="shared" si="11"/>
        <v>0</v>
      </c>
      <c r="N23" s="390"/>
      <c r="O23" s="390">
        <f t="shared" si="0"/>
        <v>5171.5683167810757</v>
      </c>
      <c r="P23" s="372">
        <f t="shared" si="1"/>
        <v>44.013337473599996</v>
      </c>
      <c r="Q23" s="373">
        <f t="shared" si="12"/>
        <v>6309.6874959999996</v>
      </c>
      <c r="R23" s="378">
        <f>Q23*0.15</f>
        <v>946.45312439999987</v>
      </c>
      <c r="S23" s="373">
        <f t="shared" si="13"/>
        <v>5319.2210341263999</v>
      </c>
      <c r="T23" s="373">
        <f t="shared" si="14"/>
        <v>12619.374991999999</v>
      </c>
      <c r="U23" s="374">
        <f>(T23-10000)*0.2+(10000-Q23)*0.15</f>
        <v>1077.4218739999999</v>
      </c>
      <c r="V23" s="373">
        <f t="shared" si="2"/>
        <v>5188.2522845264002</v>
      </c>
      <c r="W23" s="373">
        <f t="shared" si="3"/>
        <v>18929.062488</v>
      </c>
      <c r="X23" s="374">
        <f>H23*0.2</f>
        <v>1261.9374992</v>
      </c>
      <c r="Y23" s="373">
        <f t="shared" si="4"/>
        <v>5003.7366593263996</v>
      </c>
      <c r="Z23" s="373">
        <f t="shared" si="5"/>
        <v>25238.749983999998</v>
      </c>
      <c r="AA23" s="376">
        <f>(Z23-25000)*0.27+(25000-W23)*0.2</f>
        <v>1278.6499980799997</v>
      </c>
      <c r="AB23" s="373">
        <f t="shared" si="15"/>
        <v>4987.0241604463999</v>
      </c>
      <c r="AC23" s="373">
        <f t="shared" si="16"/>
        <v>31548.437479999997</v>
      </c>
      <c r="AD23" s="376">
        <f t="shared" si="17"/>
        <v>1703.61562392</v>
      </c>
      <c r="AE23" s="373">
        <f t="shared" si="18"/>
        <v>4562.0585346063999</v>
      </c>
      <c r="AF23" s="373">
        <f t="shared" si="19"/>
        <v>37858.124975999999</v>
      </c>
      <c r="AG23" s="376">
        <f t="shared" si="40"/>
        <v>1703.61562392</v>
      </c>
      <c r="AH23" s="373">
        <f t="shared" si="21"/>
        <v>4562.0585346063999</v>
      </c>
      <c r="AI23" s="373">
        <f t="shared" si="22"/>
        <v>44167.812471999998</v>
      </c>
      <c r="AJ23" s="376">
        <f t="shared" si="41"/>
        <v>1703.61562392</v>
      </c>
      <c r="AK23" s="373">
        <f t="shared" si="23"/>
        <v>4562.0585346063999</v>
      </c>
      <c r="AL23" s="373">
        <f t="shared" si="7"/>
        <v>50477.499967999996</v>
      </c>
      <c r="AM23" s="376">
        <f t="shared" si="42"/>
        <v>1703.61562392</v>
      </c>
      <c r="AN23" s="373">
        <f t="shared" si="24"/>
        <v>4562.0585346063999</v>
      </c>
      <c r="AO23" s="373">
        <f t="shared" si="25"/>
        <v>56787.187463999995</v>
      </c>
      <c r="AP23" s="376">
        <f t="shared" si="43"/>
        <v>1703.61562392</v>
      </c>
      <c r="AQ23" s="373">
        <f t="shared" si="26"/>
        <v>4562.0585346063999</v>
      </c>
      <c r="AR23" s="373">
        <f t="shared" si="27"/>
        <v>63096.874959999994</v>
      </c>
      <c r="AS23" s="376">
        <f>H23*0.27</f>
        <v>1703.61562392</v>
      </c>
      <c r="AT23" s="373">
        <f t="shared" si="29"/>
        <v>4562.0585346063999</v>
      </c>
      <c r="AU23" s="373">
        <f t="shared" si="30"/>
        <v>69406.562456</v>
      </c>
      <c r="AV23" s="376">
        <f>H23*0.27</f>
        <v>1703.61562392</v>
      </c>
      <c r="AW23" s="373">
        <f t="shared" si="8"/>
        <v>4562.0585346063999</v>
      </c>
      <c r="AX23" s="373">
        <f t="shared" si="9"/>
        <v>75716.249951999998</v>
      </c>
      <c r="AY23" s="376">
        <f t="shared" ref="AY23:AY27" si="44">H23*0.27</f>
        <v>1703.61562392</v>
      </c>
      <c r="AZ23" s="373">
        <f t="shared" si="33"/>
        <v>4562.0585346063999</v>
      </c>
      <c r="BA23" s="371"/>
      <c r="BC23" s="358"/>
    </row>
    <row r="24" spans="1:55" s="380" customFormat="1" ht="30" customHeight="1" x14ac:dyDescent="0.45">
      <c r="A24" s="731" t="s">
        <v>172</v>
      </c>
      <c r="B24" s="549" t="s">
        <v>282</v>
      </c>
      <c r="C24" s="550">
        <v>125</v>
      </c>
      <c r="D24" s="468">
        <v>3330.68</v>
      </c>
      <c r="E24" s="468">
        <v>4163.3499999999995</v>
      </c>
      <c r="F24" s="468">
        <f t="shared" ref="F24:F27" si="45">D24+E24</f>
        <v>7494.0299999999988</v>
      </c>
      <c r="G24" s="380">
        <v>359</v>
      </c>
      <c r="H24" s="469">
        <f t="shared" si="34"/>
        <v>6572.5614150000001</v>
      </c>
      <c r="I24" s="463">
        <v>0.93</v>
      </c>
      <c r="J24" s="470">
        <v>5000</v>
      </c>
      <c r="K24" s="361">
        <f t="shared" si="10"/>
        <v>4999.7215276110001</v>
      </c>
      <c r="L24" s="471">
        <v>4943.7026541570003</v>
      </c>
      <c r="M24" s="471">
        <f t="shared" si="11"/>
        <v>-56.018873453999731</v>
      </c>
      <c r="N24" s="471"/>
      <c r="O24" s="471">
        <f t="shared" si="0"/>
        <v>5376.0446533451614</v>
      </c>
      <c r="P24" s="472">
        <f t="shared" si="1"/>
        <v>45.748305338999998</v>
      </c>
      <c r="Q24" s="473">
        <f>H24*1</f>
        <v>6572.5614150000001</v>
      </c>
      <c r="R24" s="551">
        <f t="shared" ref="R24:R28" si="46">Q24*0.15</f>
        <v>985.88421225000002</v>
      </c>
      <c r="S24" s="473">
        <f t="shared" si="13"/>
        <v>5540.9288974110004</v>
      </c>
      <c r="T24" s="473">
        <f t="shared" si="14"/>
        <v>13145.12283</v>
      </c>
      <c r="U24" s="381">
        <f>(T24-10000)*0.2+(10000-Q24)*0.15</f>
        <v>1143.14035375</v>
      </c>
      <c r="V24" s="473">
        <f t="shared" si="2"/>
        <v>5383.6727559110004</v>
      </c>
      <c r="W24" s="473">
        <f t="shared" si="3"/>
        <v>19717.684245</v>
      </c>
      <c r="X24" s="381">
        <f>H24*0.2</f>
        <v>1314.512283</v>
      </c>
      <c r="Y24" s="473">
        <f t="shared" si="4"/>
        <v>5212.3008266610004</v>
      </c>
      <c r="Z24" s="473">
        <f t="shared" si="5"/>
        <v>26290.24566</v>
      </c>
      <c r="AA24" s="382">
        <f>(Z24-25000)*0.27+(25000-W24)*0.2</f>
        <v>1404.8294792000002</v>
      </c>
      <c r="AB24" s="473">
        <f t="shared" si="15"/>
        <v>5121.9836304609998</v>
      </c>
      <c r="AC24" s="473">
        <f t="shared" si="16"/>
        <v>32862.807075000004</v>
      </c>
      <c r="AD24" s="382">
        <f t="shared" si="17"/>
        <v>1774.5915820500002</v>
      </c>
      <c r="AE24" s="473">
        <f t="shared" si="18"/>
        <v>4752.2215276110001</v>
      </c>
      <c r="AF24" s="473">
        <f t="shared" si="19"/>
        <v>39435.368490000001</v>
      </c>
      <c r="AG24" s="382">
        <f t="shared" si="40"/>
        <v>1774.5915820500002</v>
      </c>
      <c r="AH24" s="473">
        <f t="shared" si="21"/>
        <v>4752.2215276110001</v>
      </c>
      <c r="AI24" s="473">
        <f t="shared" si="22"/>
        <v>46007.929904999997</v>
      </c>
      <c r="AJ24" s="382">
        <f t="shared" si="41"/>
        <v>1774.5915820500002</v>
      </c>
      <c r="AK24" s="473">
        <f t="shared" si="23"/>
        <v>4752.2215276110001</v>
      </c>
      <c r="AL24" s="473">
        <f t="shared" si="7"/>
        <v>52580.491320000001</v>
      </c>
      <c r="AM24" s="382">
        <f t="shared" si="42"/>
        <v>1774.5915820500002</v>
      </c>
      <c r="AN24" s="473">
        <f t="shared" si="24"/>
        <v>4752.2215276110001</v>
      </c>
      <c r="AO24" s="473">
        <f t="shared" si="25"/>
        <v>59153.052735000005</v>
      </c>
      <c r="AP24" s="382">
        <f t="shared" si="43"/>
        <v>1774.5915820500002</v>
      </c>
      <c r="AQ24" s="473">
        <f t="shared" si="26"/>
        <v>4752.2215276110001</v>
      </c>
      <c r="AR24" s="473">
        <f t="shared" si="27"/>
        <v>65725.614150000009</v>
      </c>
      <c r="AS24" s="382">
        <f>H24*0.27</f>
        <v>1774.5915820500002</v>
      </c>
      <c r="AT24" s="473">
        <f t="shared" si="29"/>
        <v>4752.2215276110001</v>
      </c>
      <c r="AU24" s="473">
        <f t="shared" si="30"/>
        <v>72298.175564999998</v>
      </c>
      <c r="AV24" s="382">
        <f>H24*0.27</f>
        <v>1774.5915820500002</v>
      </c>
      <c r="AW24" s="473">
        <f t="shared" si="8"/>
        <v>4752.2215276110001</v>
      </c>
      <c r="AX24" s="473">
        <f t="shared" si="9"/>
        <v>78870.736980000001</v>
      </c>
      <c r="AY24" s="382">
        <f t="shared" si="44"/>
        <v>1774.5915820500002</v>
      </c>
      <c r="AZ24" s="473">
        <f t="shared" si="33"/>
        <v>4752.2215276110001</v>
      </c>
      <c r="BA24" s="566">
        <f>AVERAGE(R24,U24,X24,AA24,AD24,AG24,AJ24,AM24,AP24,AS24,AV24,AY24,)</f>
        <v>1465.0076142</v>
      </c>
      <c r="BC24" s="552"/>
    </row>
    <row r="25" spans="1:55" s="380" customFormat="1" ht="30" customHeight="1" x14ac:dyDescent="0.45">
      <c r="A25" s="732"/>
      <c r="B25" s="549" t="s">
        <v>281</v>
      </c>
      <c r="C25" s="550">
        <v>125</v>
      </c>
      <c r="D25" s="468">
        <v>3330.68</v>
      </c>
      <c r="E25" s="468">
        <v>4163.3499999999995</v>
      </c>
      <c r="F25" s="468">
        <f t="shared" si="45"/>
        <v>7494.0299999999988</v>
      </c>
      <c r="G25" s="380">
        <v>359</v>
      </c>
      <c r="H25" s="469">
        <f t="shared" si="34"/>
        <v>5875.6166249999997</v>
      </c>
      <c r="I25" s="463">
        <v>0.75</v>
      </c>
      <c r="J25" s="470">
        <v>4500</v>
      </c>
      <c r="K25" s="361">
        <f t="shared" si="10"/>
        <v>4495.5516665250007</v>
      </c>
      <c r="L25" s="471">
        <v>4497.2282059364989</v>
      </c>
      <c r="M25" s="471">
        <f t="shared" si="11"/>
        <v>1.6765394114981973</v>
      </c>
      <c r="N25" s="471"/>
      <c r="O25" s="471">
        <f t="shared" si="0"/>
        <v>4833.9265231451618</v>
      </c>
      <c r="P25" s="472">
        <f t="shared" si="1"/>
        <v>41.148469724999998</v>
      </c>
      <c r="Q25" s="473">
        <f>H25*1</f>
        <v>5875.6166249999997</v>
      </c>
      <c r="R25" s="551">
        <f t="shared" si="46"/>
        <v>881.3424937499999</v>
      </c>
      <c r="S25" s="473">
        <f t="shared" si="13"/>
        <v>4953.1256615250004</v>
      </c>
      <c r="T25" s="473">
        <f t="shared" si="14"/>
        <v>11751.233249999999</v>
      </c>
      <c r="U25" s="381">
        <f>(T25-10000)*0.2+(10000-Q25)*0.15</f>
        <v>968.90415624999991</v>
      </c>
      <c r="V25" s="473">
        <f t="shared" si="2"/>
        <v>4865.5639990250002</v>
      </c>
      <c r="W25" s="473">
        <f t="shared" si="3"/>
        <v>17626.849875</v>
      </c>
      <c r="X25" s="381">
        <f>H25*0.2</f>
        <v>1175.123325</v>
      </c>
      <c r="Y25" s="473">
        <f t="shared" si="4"/>
        <v>4659.3448302750003</v>
      </c>
      <c r="Z25" s="473">
        <f t="shared" si="5"/>
        <v>23502.466499999999</v>
      </c>
      <c r="AA25" s="381">
        <f>H25*0.2</f>
        <v>1175.123325</v>
      </c>
      <c r="AB25" s="473">
        <f t="shared" si="15"/>
        <v>4659.3448302750003</v>
      </c>
      <c r="AC25" s="473">
        <f t="shared" si="16"/>
        <v>29378.083124999997</v>
      </c>
      <c r="AD25" s="382">
        <f>(AC25-25000)*0.27+(25000-Z25)*0.2</f>
        <v>1481.5891437499997</v>
      </c>
      <c r="AE25" s="473">
        <f t="shared" si="18"/>
        <v>4352.8790115250004</v>
      </c>
      <c r="AF25" s="473">
        <f t="shared" si="19"/>
        <v>35253.69975</v>
      </c>
      <c r="AG25" s="382">
        <f t="shared" si="40"/>
        <v>1586.4164887500001</v>
      </c>
      <c r="AH25" s="473">
        <f t="shared" si="21"/>
        <v>4248.0516665249997</v>
      </c>
      <c r="AI25" s="473">
        <f t="shared" si="22"/>
        <v>41129.316374999995</v>
      </c>
      <c r="AJ25" s="382">
        <f t="shared" si="41"/>
        <v>1586.4164887500001</v>
      </c>
      <c r="AK25" s="473">
        <f t="shared" si="23"/>
        <v>4248.0516665249997</v>
      </c>
      <c r="AL25" s="473">
        <f t="shared" si="7"/>
        <v>47004.932999999997</v>
      </c>
      <c r="AM25" s="382">
        <f t="shared" si="42"/>
        <v>1586.4164887500001</v>
      </c>
      <c r="AN25" s="473">
        <f t="shared" si="24"/>
        <v>4248.0516665249997</v>
      </c>
      <c r="AO25" s="473">
        <f t="shared" si="25"/>
        <v>52880.549625</v>
      </c>
      <c r="AP25" s="382">
        <f t="shared" si="43"/>
        <v>1586.4164887500001</v>
      </c>
      <c r="AQ25" s="473">
        <f t="shared" si="26"/>
        <v>4248.0516665249997</v>
      </c>
      <c r="AR25" s="473">
        <f t="shared" si="27"/>
        <v>58756.166249999995</v>
      </c>
      <c r="AS25" s="382">
        <f>H25*0.27</f>
        <v>1586.4164887500001</v>
      </c>
      <c r="AT25" s="473">
        <f t="shared" si="29"/>
        <v>4248.0516665249997</v>
      </c>
      <c r="AU25" s="473">
        <f t="shared" si="30"/>
        <v>64631.782874999997</v>
      </c>
      <c r="AV25" s="382">
        <f>H25*0.27</f>
        <v>1586.4164887500001</v>
      </c>
      <c r="AW25" s="473">
        <f t="shared" si="8"/>
        <v>4248.0516665249997</v>
      </c>
      <c r="AX25" s="473">
        <f t="shared" si="9"/>
        <v>70507.3995</v>
      </c>
      <c r="AY25" s="382">
        <f t="shared" si="44"/>
        <v>1586.4164887500001</v>
      </c>
      <c r="AZ25" s="473">
        <f t="shared" si="33"/>
        <v>4248.0516665249997</v>
      </c>
      <c r="BA25" s="566">
        <f>AVERAGE(R25,U25,X25,AA25,AD25,AG25,AJ25,AM25,AP25,AS25,AV25,AY25,)</f>
        <v>1291.3075280769235</v>
      </c>
      <c r="BC25" s="552"/>
    </row>
    <row r="26" spans="1:55" s="233" customFormat="1" ht="30" customHeight="1" x14ac:dyDescent="0.45">
      <c r="A26" s="732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45"/>
        <v>7494.0299999999988</v>
      </c>
      <c r="G26" s="233">
        <v>278</v>
      </c>
      <c r="H26" s="353">
        <f>D26+E26*$H$5*$I26-G26</f>
        <v>5066.0760599999994</v>
      </c>
      <c r="I26" s="391">
        <v>0.52</v>
      </c>
      <c r="J26" s="362">
        <v>4000</v>
      </c>
      <c r="K26" s="361">
        <f t="shared" si="10"/>
        <v>3910.4646218039993</v>
      </c>
      <c r="L26" s="390">
        <v>3910.4646218039993</v>
      </c>
      <c r="M26" s="390">
        <f t="shared" si="11"/>
        <v>0</v>
      </c>
      <c r="N26" s="390"/>
      <c r="O26" s="390">
        <f t="shared" si="0"/>
        <v>4204.8006686064509</v>
      </c>
      <c r="P26" s="372">
        <f t="shared" si="1"/>
        <v>35.270901995999999</v>
      </c>
      <c r="Q26" s="373">
        <f t="shared" si="12"/>
        <v>5066.0760599999994</v>
      </c>
      <c r="R26" s="378">
        <f t="shared" si="46"/>
        <v>759.91140899999994</v>
      </c>
      <c r="S26" s="373">
        <f t="shared" si="13"/>
        <v>4270.8937490039989</v>
      </c>
      <c r="T26" s="373">
        <f t="shared" si="14"/>
        <v>10132.152119999999</v>
      </c>
      <c r="U26" s="374">
        <f t="shared" ref="U26" si="47">(T26-10000)*0.2+(10000-Q26)*0.15</f>
        <v>766.51901499999985</v>
      </c>
      <c r="V26" s="373">
        <f t="shared" si="2"/>
        <v>4264.2861430039993</v>
      </c>
      <c r="W26" s="373">
        <f t="shared" si="3"/>
        <v>15198.228179999998</v>
      </c>
      <c r="X26" s="374">
        <f>H26*0.2</f>
        <v>1013.215212</v>
      </c>
      <c r="Y26" s="373">
        <f t="shared" si="4"/>
        <v>4017.5899460039991</v>
      </c>
      <c r="Z26" s="373">
        <f t="shared" si="5"/>
        <v>20264.304239999998</v>
      </c>
      <c r="AA26" s="374">
        <f>H26*0.2</f>
        <v>1013.215212</v>
      </c>
      <c r="AB26" s="373">
        <f t="shared" si="15"/>
        <v>4017.5899460039991</v>
      </c>
      <c r="AC26" s="373">
        <f t="shared" si="16"/>
        <v>25330.380299999997</v>
      </c>
      <c r="AD26" s="376">
        <f>(AC26-25000)*0.27+(25000-Z26)*0.2</f>
        <v>1036.3418329999997</v>
      </c>
      <c r="AE26" s="373">
        <f t="shared" si="18"/>
        <v>3994.4633250039997</v>
      </c>
      <c r="AF26" s="373">
        <f t="shared" si="19"/>
        <v>30396.456359999996</v>
      </c>
      <c r="AG26" s="376">
        <f t="shared" si="40"/>
        <v>1367.8405361999999</v>
      </c>
      <c r="AH26" s="373">
        <f t="shared" si="21"/>
        <v>3662.9646218039993</v>
      </c>
      <c r="AI26" s="373">
        <f t="shared" si="22"/>
        <v>35462.532419999996</v>
      </c>
      <c r="AJ26" s="376">
        <f t="shared" si="41"/>
        <v>1367.8405361999999</v>
      </c>
      <c r="AK26" s="373">
        <f t="shared" si="23"/>
        <v>3662.9646218039993</v>
      </c>
      <c r="AL26" s="373">
        <f t="shared" si="7"/>
        <v>40528.608479999995</v>
      </c>
      <c r="AM26" s="376">
        <f t="shared" si="42"/>
        <v>1367.8405361999999</v>
      </c>
      <c r="AN26" s="373">
        <f t="shared" si="24"/>
        <v>3662.9646218039993</v>
      </c>
      <c r="AO26" s="373">
        <f t="shared" si="25"/>
        <v>45594.684539999995</v>
      </c>
      <c r="AP26" s="376">
        <f t="shared" si="43"/>
        <v>1367.8405361999999</v>
      </c>
      <c r="AQ26" s="373">
        <f t="shared" si="26"/>
        <v>3662.9646218039993</v>
      </c>
      <c r="AR26" s="373">
        <f t="shared" si="27"/>
        <v>50660.760599999994</v>
      </c>
      <c r="AS26" s="376">
        <f>H26*0.27</f>
        <v>1367.8405361999999</v>
      </c>
      <c r="AT26" s="373">
        <f t="shared" si="29"/>
        <v>3662.9646218039993</v>
      </c>
      <c r="AU26" s="373">
        <f t="shared" si="30"/>
        <v>55726.836659999994</v>
      </c>
      <c r="AV26" s="376">
        <f>H26*0.27</f>
        <v>1367.8405361999999</v>
      </c>
      <c r="AW26" s="373">
        <f t="shared" si="8"/>
        <v>3662.9646218039993</v>
      </c>
      <c r="AX26" s="373">
        <f t="shared" si="9"/>
        <v>60792.912719999993</v>
      </c>
      <c r="AY26" s="376">
        <f t="shared" si="44"/>
        <v>1367.8405361999999</v>
      </c>
      <c r="AZ26" s="373">
        <f t="shared" si="33"/>
        <v>3662.9646218039993</v>
      </c>
      <c r="BA26" s="371"/>
      <c r="BC26" s="358"/>
    </row>
    <row r="27" spans="1:55" s="233" customFormat="1" ht="30" customHeight="1" x14ac:dyDescent="0.45">
      <c r="A27" s="733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45"/>
        <v>7494.0299999999988</v>
      </c>
      <c r="G27" s="233">
        <v>278</v>
      </c>
      <c r="H27" s="353">
        <f t="shared" si="34"/>
        <v>3749.6247899999998</v>
      </c>
      <c r="I27" s="391">
        <v>0.18</v>
      </c>
      <c r="J27" s="362">
        <v>3000</v>
      </c>
      <c r="K27" s="361">
        <f t="shared" si="10"/>
        <v>2958.1437730859993</v>
      </c>
      <c r="L27" s="390">
        <v>2958.1437730859993</v>
      </c>
      <c r="M27" s="390">
        <f t="shared" si="11"/>
        <v>0</v>
      </c>
      <c r="N27" s="390"/>
      <c r="O27" s="390">
        <f t="shared" si="0"/>
        <v>3180.7997560064509</v>
      </c>
      <c r="P27" s="372">
        <f t="shared" si="1"/>
        <v>26.582323614</v>
      </c>
      <c r="Q27" s="373">
        <f t="shared" si="12"/>
        <v>3749.6247899999998</v>
      </c>
      <c r="R27" s="378">
        <f t="shared" si="46"/>
        <v>562.44371849999993</v>
      </c>
      <c r="S27" s="373">
        <f t="shared" si="13"/>
        <v>3160.5987478859997</v>
      </c>
      <c r="T27" s="373">
        <f t="shared" si="14"/>
        <v>7499.2495799999997</v>
      </c>
      <c r="U27" s="378">
        <f>H27*0.15</f>
        <v>562.44371849999993</v>
      </c>
      <c r="V27" s="373">
        <f t="shared" si="2"/>
        <v>3160.5987478859997</v>
      </c>
      <c r="W27" s="373">
        <f t="shared" si="3"/>
        <v>11248.87437</v>
      </c>
      <c r="X27" s="374">
        <f>(W27-10000)*0.2+(10000-T27)*0.15</f>
        <v>624.88743699999998</v>
      </c>
      <c r="Y27" s="373">
        <f t="shared" si="4"/>
        <v>3098.155029386</v>
      </c>
      <c r="Z27" s="373">
        <f t="shared" si="5"/>
        <v>14998.499159999999</v>
      </c>
      <c r="AA27" s="374">
        <f>H27*0.2</f>
        <v>749.92495800000006</v>
      </c>
      <c r="AB27" s="373">
        <f t="shared" si="15"/>
        <v>2973.1175083859998</v>
      </c>
      <c r="AC27" s="373">
        <f t="shared" si="16"/>
        <v>18748.123950000001</v>
      </c>
      <c r="AD27" s="374">
        <f>H27*0.2</f>
        <v>749.92495800000006</v>
      </c>
      <c r="AE27" s="373">
        <f t="shared" si="18"/>
        <v>2973.1175083859998</v>
      </c>
      <c r="AF27" s="373">
        <f t="shared" si="19"/>
        <v>22497.748739999999</v>
      </c>
      <c r="AG27" s="374">
        <f>H27*0.2</f>
        <v>749.92495800000006</v>
      </c>
      <c r="AH27" s="373">
        <f t="shared" si="21"/>
        <v>2973.1175083859998</v>
      </c>
      <c r="AI27" s="373">
        <f t="shared" si="22"/>
        <v>26247.373529999997</v>
      </c>
      <c r="AJ27" s="376">
        <f>(AI27-25000)*0.27+(25000-AF27)*0.2</f>
        <v>837.24110509999946</v>
      </c>
      <c r="AK27" s="373">
        <f t="shared" si="23"/>
        <v>2885.8013612860004</v>
      </c>
      <c r="AL27" s="373">
        <f t="shared" si="7"/>
        <v>29996.998319999999</v>
      </c>
      <c r="AM27" s="376">
        <f t="shared" si="42"/>
        <v>1012.3986933</v>
      </c>
      <c r="AN27" s="373">
        <f t="shared" si="24"/>
        <v>2710.6437730859998</v>
      </c>
      <c r="AO27" s="373">
        <f t="shared" si="25"/>
        <v>33746.62311</v>
      </c>
      <c r="AP27" s="376">
        <f t="shared" si="43"/>
        <v>1012.3986933</v>
      </c>
      <c r="AQ27" s="373">
        <f t="shared" si="26"/>
        <v>2710.6437730859998</v>
      </c>
      <c r="AR27" s="373">
        <f t="shared" si="27"/>
        <v>37496.247900000002</v>
      </c>
      <c r="AS27" s="376">
        <f>H27*0.27</f>
        <v>1012.3986933</v>
      </c>
      <c r="AT27" s="373">
        <f t="shared" si="29"/>
        <v>2710.6437730859998</v>
      </c>
      <c r="AU27" s="373">
        <f t="shared" si="30"/>
        <v>41245.872689999997</v>
      </c>
      <c r="AV27" s="376">
        <f>H27*0.27</f>
        <v>1012.3986933</v>
      </c>
      <c r="AW27" s="373">
        <f t="shared" si="8"/>
        <v>2710.6437730859998</v>
      </c>
      <c r="AX27" s="373">
        <f t="shared" si="9"/>
        <v>44995.497479999998</v>
      </c>
      <c r="AY27" s="376">
        <f t="shared" si="44"/>
        <v>1012.3986933</v>
      </c>
      <c r="AZ27" s="373">
        <f t="shared" si="33"/>
        <v>2710.6437730859998</v>
      </c>
      <c r="BA27" s="371"/>
      <c r="BC27" s="358"/>
    </row>
    <row r="28" spans="1:55" s="233" customFormat="1" ht="28.5" x14ac:dyDescent="0.45">
      <c r="A28" s="754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34"/>
        <v>2223.6737480000002</v>
      </c>
      <c r="I28" s="391">
        <v>0.54</v>
      </c>
      <c r="J28" s="362">
        <v>1795</v>
      </c>
      <c r="K28" s="361">
        <f t="shared" si="10"/>
        <v>1854.2707893032</v>
      </c>
      <c r="L28" s="390">
        <v>1854.2707893032</v>
      </c>
      <c r="M28" s="390">
        <f t="shared" si="11"/>
        <v>0</v>
      </c>
      <c r="N28" s="390"/>
      <c r="O28" s="390">
        <f t="shared" si="0"/>
        <v>1993.8395583905376</v>
      </c>
      <c r="P28" s="372">
        <f t="shared" si="1"/>
        <v>16.511046736800001</v>
      </c>
      <c r="Q28" s="373">
        <f t="shared" si="12"/>
        <v>2223.6737480000002</v>
      </c>
      <c r="R28" s="378">
        <f t="shared" si="46"/>
        <v>333.55106219999999</v>
      </c>
      <c r="S28" s="373">
        <f t="shared" si="13"/>
        <v>1873.6116390632003</v>
      </c>
      <c r="T28" s="373">
        <f t="shared" si="14"/>
        <v>4447.3474960000003</v>
      </c>
      <c r="U28" s="378">
        <f>H28*0.15</f>
        <v>333.55106219999999</v>
      </c>
      <c r="V28" s="373">
        <f t="shared" si="2"/>
        <v>1873.6116390632003</v>
      </c>
      <c r="W28" s="373">
        <f t="shared" si="3"/>
        <v>6671.0212440000005</v>
      </c>
      <c r="X28" s="378">
        <f>H28*0.15</f>
        <v>333.55106219999999</v>
      </c>
      <c r="Y28" s="373">
        <f t="shared" si="4"/>
        <v>1873.6116390632003</v>
      </c>
      <c r="Z28" s="373">
        <f t="shared" si="5"/>
        <v>8894.6949920000006</v>
      </c>
      <c r="AA28" s="378">
        <f>H28*0.15</f>
        <v>333.55106219999999</v>
      </c>
      <c r="AB28" s="373">
        <f t="shared" si="15"/>
        <v>1873.6116390632003</v>
      </c>
      <c r="AC28" s="373">
        <f t="shared" si="16"/>
        <v>11118.368740000002</v>
      </c>
      <c r="AD28" s="374">
        <f>(AC28-10000)*0.2+(10000-Z28)*0.15</f>
        <v>389.46949920000026</v>
      </c>
      <c r="AE28" s="373">
        <f t="shared" si="18"/>
        <v>1817.6932020632</v>
      </c>
      <c r="AF28" s="373">
        <f t="shared" si="19"/>
        <v>13342.042488000001</v>
      </c>
      <c r="AG28" s="374">
        <f>H28*0.2</f>
        <v>444.73474960000004</v>
      </c>
      <c r="AH28" s="373">
        <f t="shared" si="21"/>
        <v>1762.4279516632002</v>
      </c>
      <c r="AI28" s="373">
        <f t="shared" si="22"/>
        <v>15565.716236</v>
      </c>
      <c r="AJ28" s="374">
        <f>H28*0.2</f>
        <v>444.73474960000004</v>
      </c>
      <c r="AK28" s="373">
        <f t="shared" si="23"/>
        <v>1762.4279516632002</v>
      </c>
      <c r="AL28" s="373">
        <f t="shared" si="7"/>
        <v>17789.389984000001</v>
      </c>
      <c r="AM28" s="374">
        <f>H28*0.2</f>
        <v>444.73474960000004</v>
      </c>
      <c r="AN28" s="373">
        <f t="shared" si="24"/>
        <v>1762.4279516632002</v>
      </c>
      <c r="AO28" s="373">
        <f t="shared" si="25"/>
        <v>20013.063732000002</v>
      </c>
      <c r="AP28" s="374">
        <f>H28*0.2</f>
        <v>444.73474960000004</v>
      </c>
      <c r="AQ28" s="373">
        <f t="shared" si="26"/>
        <v>1762.4279516632002</v>
      </c>
      <c r="AR28" s="373">
        <f t="shared" si="27"/>
        <v>22236.737480000003</v>
      </c>
      <c r="AS28" s="374">
        <f>H28*0.2</f>
        <v>444.73474960000004</v>
      </c>
      <c r="AT28" s="373">
        <f t="shared" si="29"/>
        <v>1762.4279516632002</v>
      </c>
      <c r="AU28" s="373">
        <f t="shared" si="30"/>
        <v>24460.411228000001</v>
      </c>
      <c r="AV28" s="374">
        <f>H28*0.2</f>
        <v>444.73474960000004</v>
      </c>
      <c r="AW28" s="373">
        <f t="shared" si="8"/>
        <v>1762.4279516632002</v>
      </c>
      <c r="AX28" s="373">
        <f t="shared" si="9"/>
        <v>26684.084976000002</v>
      </c>
      <c r="AY28" s="376">
        <f>(AX28-25000)*0.27+(25000-AU28)*0.2</f>
        <v>562.62069792000034</v>
      </c>
      <c r="AZ28" s="373">
        <f t="shared" si="33"/>
        <v>1644.5420033431999</v>
      </c>
      <c r="BA28" s="371"/>
      <c r="BC28" s="358"/>
    </row>
    <row r="29" spans="1:55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0.94</v>
      </c>
      <c r="I29" s="363"/>
      <c r="J29" s="233"/>
      <c r="K29" s="361"/>
      <c r="L29" s="390"/>
      <c r="M29" s="390"/>
      <c r="N29" s="390"/>
      <c r="O29" s="390"/>
      <c r="P29" s="372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5"/>
      <c r="BC29" s="358"/>
    </row>
    <row r="30" spans="1:55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48">D30+E30</f>
        <v>24980.1</v>
      </c>
      <c r="G30" s="233">
        <v>359</v>
      </c>
      <c r="H30" s="353">
        <f>D30+E30*$H$29*$I30-G30</f>
        <v>17035.143231999999</v>
      </c>
      <c r="I30" s="363">
        <v>0.66</v>
      </c>
      <c r="J30" s="362">
        <v>11900</v>
      </c>
      <c r="K30" s="361">
        <f t="shared" si="10"/>
        <v>11792.208422135467</v>
      </c>
      <c r="L30" s="390">
        <v>11550.482589181869</v>
      </c>
      <c r="M30" s="390">
        <f t="shared" ref="M30:M54" si="49">L30-K30</f>
        <v>-241.725832953598</v>
      </c>
      <c r="N30" s="390"/>
      <c r="O30" s="390">
        <f>K30/0.94</f>
        <v>12544.90257673986</v>
      </c>
      <c r="P30" s="372">
        <f t="shared" ref="P30:P54" si="50">(H30+G30)*0.0066</f>
        <v>114.8013453312</v>
      </c>
      <c r="Q30" s="373">
        <f>H30*1</f>
        <v>17035.143231999999</v>
      </c>
      <c r="R30" s="374">
        <f t="shared" ref="R30:R42" si="51">(Q30-10000)*0.2+10000*0.15</f>
        <v>2907.0286464000001</v>
      </c>
      <c r="S30" s="373">
        <f>H30-P30-R30</f>
        <v>14013.313240268797</v>
      </c>
      <c r="T30" s="373">
        <f>H30*2</f>
        <v>34070.286463999997</v>
      </c>
      <c r="U30" s="376">
        <f>(T30-25000)*0.27+(25000-Q30)*0.2</f>
        <v>4041.9486988799999</v>
      </c>
      <c r="V30" s="373">
        <f>H30-P30-U30</f>
        <v>12878.393187788797</v>
      </c>
      <c r="W30" s="373">
        <f>H30*3</f>
        <v>51105.429695999992</v>
      </c>
      <c r="X30" s="376">
        <f t="shared" ref="X30:X33" si="52">Q30*0.27</f>
        <v>4599.48867264</v>
      </c>
      <c r="Y30" s="373">
        <f>H30-P30-X30</f>
        <v>12320.853214028797</v>
      </c>
      <c r="Z30" s="373">
        <f>H30*4</f>
        <v>68140.572927999994</v>
      </c>
      <c r="AA30" s="376">
        <f t="shared" ref="AA30:AA37" si="53">H30*0.27</f>
        <v>4599.48867264</v>
      </c>
      <c r="AB30" s="373">
        <f>H30-P30-AA30</f>
        <v>12320.853214028797</v>
      </c>
      <c r="AC30" s="373">
        <f>H30*5</f>
        <v>85175.716159999996</v>
      </c>
      <c r="AD30" s="376">
        <f t="shared" ref="AD30:AD50" si="54">H30*0.27</f>
        <v>4599.48867264</v>
      </c>
      <c r="AE30" s="373">
        <f>H30-P30-AD30</f>
        <v>12320.853214028797</v>
      </c>
      <c r="AF30" s="373">
        <f>H30*6</f>
        <v>102210.85939199998</v>
      </c>
      <c r="AG30" s="377">
        <f>(AF30-88000)*0.35+(88000-AC30)*0.27</f>
        <v>5736.3574239999953</v>
      </c>
      <c r="AH30" s="373">
        <f>H30-P30-AG30</f>
        <v>11183.984462668803</v>
      </c>
      <c r="AI30" s="373">
        <f>H30*7</f>
        <v>119246.00262399999</v>
      </c>
      <c r="AJ30" s="377">
        <f>H30*0.35</f>
        <v>5962.3001311999988</v>
      </c>
      <c r="AK30" s="373">
        <f>H30-P30-AJ30</f>
        <v>10958.041755468799</v>
      </c>
      <c r="AL30" s="373">
        <f>H30*8</f>
        <v>136281.14585599999</v>
      </c>
      <c r="AM30" s="377">
        <f>H30*0.35</f>
        <v>5962.3001311999988</v>
      </c>
      <c r="AN30" s="373">
        <f>H30-P30-AM30</f>
        <v>10958.041755468799</v>
      </c>
      <c r="AO30" s="373">
        <f>H30*9</f>
        <v>153316.28908799999</v>
      </c>
      <c r="AP30" s="377">
        <f>H30*0.35</f>
        <v>5962.3001311999988</v>
      </c>
      <c r="AQ30" s="373">
        <f>H30-P30-AP30</f>
        <v>10958.041755468799</v>
      </c>
      <c r="AR30" s="373">
        <f>H30*10</f>
        <v>170351.43231999999</v>
      </c>
      <c r="AS30" s="377">
        <f>H30*0.35</f>
        <v>5962.3001311999988</v>
      </c>
      <c r="AT30" s="373">
        <f>H30-P30-AS30</f>
        <v>10958.041755468799</v>
      </c>
      <c r="AU30" s="373">
        <f>H30*11</f>
        <v>187386.57555199999</v>
      </c>
      <c r="AV30" s="377">
        <f t="shared" ref="AV30:AV37" si="55">H30*0.35</f>
        <v>5962.3001311999988</v>
      </c>
      <c r="AW30" s="373">
        <f>H30-P30-AV30</f>
        <v>10958.041755468799</v>
      </c>
      <c r="AX30" s="373">
        <f>H30*12</f>
        <v>204421.71878399997</v>
      </c>
      <c r="AY30" s="377">
        <f t="shared" ref="AY30:AY37" si="56">H30*0.35</f>
        <v>5962.3001311999988</v>
      </c>
      <c r="AZ30" s="373">
        <f t="shared" ref="AZ30:AZ54" si="57">H30-P30-AY30</f>
        <v>10958.041755468799</v>
      </c>
      <c r="BA30" s="292"/>
      <c r="BC30" s="358"/>
    </row>
    <row r="31" spans="1:55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48"/>
        <v>24980.1</v>
      </c>
      <c r="G31" s="233">
        <v>359</v>
      </c>
      <c r="H31" s="353">
        <f t="shared" ref="H31:H54" si="58">D31+E31*$H$29*$I31-G31</f>
        <v>11023.931968000001</v>
      </c>
      <c r="I31" s="363">
        <v>0.34</v>
      </c>
      <c r="J31" s="362">
        <v>8000</v>
      </c>
      <c r="K31" s="361">
        <f t="shared" si="10"/>
        <v>7924.5950948778691</v>
      </c>
      <c r="L31" s="390">
        <v>7803.7321784010674</v>
      </c>
      <c r="M31" s="390">
        <f t="shared" si="49"/>
        <v>-120.86291647680173</v>
      </c>
      <c r="N31" s="390"/>
      <c r="O31" s="390">
        <f t="shared" ref="O31:O54" si="59">K31/0.94</f>
        <v>8430.4203136998603</v>
      </c>
      <c r="P31" s="372">
        <f t="shared" si="50"/>
        <v>75.127350988800004</v>
      </c>
      <c r="Q31" s="373">
        <f t="shared" ref="Q31:Q54" si="60">H31*1</f>
        <v>11023.931968000001</v>
      </c>
      <c r="R31" s="374">
        <f t="shared" si="51"/>
        <v>1704.7863936000001</v>
      </c>
      <c r="S31" s="373">
        <f t="shared" ref="S31:S54" si="61">H31-P31-R31</f>
        <v>9244.0182234112017</v>
      </c>
      <c r="T31" s="373">
        <f t="shared" ref="T31:T54" si="62">H31*2</f>
        <v>22047.863936000002</v>
      </c>
      <c r="U31" s="374">
        <f>H31*0.2</f>
        <v>2204.7863936000003</v>
      </c>
      <c r="V31" s="373">
        <f t="shared" ref="V31:V54" si="63">H31-P31-U31</f>
        <v>8744.0182234111999</v>
      </c>
      <c r="W31" s="373">
        <f t="shared" ref="W31:W54" si="64">H31*3</f>
        <v>33071.795903999999</v>
      </c>
      <c r="X31" s="376">
        <f>(W31-25000)*0.27+(25000-T31)*0.2</f>
        <v>2769.8121068799996</v>
      </c>
      <c r="Y31" s="373">
        <f t="shared" ref="Y31:Y54" si="65">H31-P31-X31</f>
        <v>8178.9925101312019</v>
      </c>
      <c r="Z31" s="373">
        <f t="shared" ref="Z31:Z54" si="66">H31*4</f>
        <v>44095.727872000003</v>
      </c>
      <c r="AA31" s="376">
        <f t="shared" si="53"/>
        <v>2976.4616313600004</v>
      </c>
      <c r="AB31" s="373">
        <f t="shared" ref="AB31:AB54" si="67">H31-P31-AA31</f>
        <v>7972.3429856512012</v>
      </c>
      <c r="AC31" s="373">
        <f t="shared" ref="AC31:AC54" si="68">H31*5</f>
        <v>55119.659840000008</v>
      </c>
      <c r="AD31" s="376">
        <f t="shared" si="54"/>
        <v>2976.4616313600004</v>
      </c>
      <c r="AE31" s="373">
        <f t="shared" ref="AE31:AE54" si="69">H31-P31-AD31</f>
        <v>7972.3429856512012</v>
      </c>
      <c r="AF31" s="373">
        <f t="shared" ref="AF31:AF54" si="70">H31*6</f>
        <v>66143.591807999997</v>
      </c>
      <c r="AG31" s="376">
        <f t="shared" ref="AG31:AG38" si="71">H31*0.27</f>
        <v>2976.4616313600004</v>
      </c>
      <c r="AH31" s="373">
        <f t="shared" ref="AH31:AH54" si="72">H31-P31-AG31</f>
        <v>7972.3429856512012</v>
      </c>
      <c r="AI31" s="373">
        <f t="shared" ref="AI31:AI54" si="73">H31*7</f>
        <v>77167.523776000002</v>
      </c>
      <c r="AJ31" s="376">
        <f>H31*0.27</f>
        <v>2976.4616313600004</v>
      </c>
      <c r="AK31" s="373">
        <f t="shared" ref="AK31:AK54" si="74">H31-P31-AJ31</f>
        <v>7972.3429856512012</v>
      </c>
      <c r="AL31" s="373">
        <f t="shared" ref="AL31:AL54" si="75">H31*8</f>
        <v>88191.455744000006</v>
      </c>
      <c r="AM31" s="376">
        <f>H31*0.27</f>
        <v>2976.4616313600004</v>
      </c>
      <c r="AN31" s="373">
        <f t="shared" ref="AN31:AN54" si="76">H31-P31-AM31</f>
        <v>7972.3429856512012</v>
      </c>
      <c r="AO31" s="373">
        <f t="shared" ref="AO31:AO54" si="77">H31*9</f>
        <v>99215.387712000011</v>
      </c>
      <c r="AP31" s="377">
        <f>(AO31-88000)*0.35+(88000-AL31)*0.27</f>
        <v>3873.6926483200018</v>
      </c>
      <c r="AQ31" s="373">
        <f t="shared" ref="AQ31:AQ54" si="78">H31-P31-AP31</f>
        <v>7075.1119686911989</v>
      </c>
      <c r="AR31" s="373">
        <f t="shared" ref="AR31:AR54" si="79">H31*10</f>
        <v>110239.31968000002</v>
      </c>
      <c r="AS31" s="377">
        <f>H31*0.35</f>
        <v>3858.3761887999999</v>
      </c>
      <c r="AT31" s="373">
        <f t="shared" ref="AT31:AT54" si="80">H31-P31-AS31</f>
        <v>7090.4284282112012</v>
      </c>
      <c r="AU31" s="373">
        <f t="shared" ref="AU31:AU54" si="81">H31*11</f>
        <v>121263.251648</v>
      </c>
      <c r="AV31" s="377">
        <f t="shared" si="55"/>
        <v>3858.3761887999999</v>
      </c>
      <c r="AW31" s="373">
        <f t="shared" ref="AW31:AW54" si="82">H31-P31-AV31</f>
        <v>7090.4284282112012</v>
      </c>
      <c r="AX31" s="373">
        <f t="shared" ref="AX31:AX54" si="83">H31*12</f>
        <v>132287.18361599999</v>
      </c>
      <c r="AY31" s="377">
        <f t="shared" si="56"/>
        <v>3858.3761887999999</v>
      </c>
      <c r="AZ31" s="373">
        <f t="shared" si="57"/>
        <v>7090.4284282112012</v>
      </c>
      <c r="BA31" s="292"/>
      <c r="BC31" s="358"/>
    </row>
    <row r="32" spans="1:55" ht="28.5" x14ac:dyDescent="0.45">
      <c r="A32" s="716"/>
      <c r="B32" s="547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58"/>
        <v>9333.2788</v>
      </c>
      <c r="I32" s="363">
        <v>0.25</v>
      </c>
      <c r="J32" s="362">
        <v>6844</v>
      </c>
      <c r="K32" s="361">
        <f t="shared" si="10"/>
        <v>6836.8288465866681</v>
      </c>
      <c r="L32" s="390">
        <v>6836.8288465866681</v>
      </c>
      <c r="M32" s="390">
        <f t="shared" si="49"/>
        <v>0</v>
      </c>
      <c r="N32" s="390"/>
      <c r="O32" s="390">
        <f t="shared" si="59"/>
        <v>7273.22217721986</v>
      </c>
      <c r="P32" s="372">
        <f t="shared" si="50"/>
        <v>63.969040079999999</v>
      </c>
      <c r="Q32" s="373">
        <f t="shared" si="60"/>
        <v>9333.2788</v>
      </c>
      <c r="R32" s="378">
        <f t="shared" ref="R32" si="84">Q32*0.15</f>
        <v>1399.99182</v>
      </c>
      <c r="S32" s="373">
        <f t="shared" si="61"/>
        <v>7869.3179399200008</v>
      </c>
      <c r="T32" s="373">
        <f t="shared" si="62"/>
        <v>18666.5576</v>
      </c>
      <c r="U32" s="374">
        <f t="shared" ref="U32" si="85">(T32-10000)*0.2+(10000-Q32)*0.15</f>
        <v>1833.3197000000002</v>
      </c>
      <c r="V32" s="373">
        <f t="shared" si="63"/>
        <v>7435.9900599200009</v>
      </c>
      <c r="W32" s="373">
        <f t="shared" si="64"/>
        <v>27999.8364</v>
      </c>
      <c r="X32" s="376">
        <f>(W32-25000)*0.27+(25000-T32)*0.2</f>
        <v>2076.6443079999999</v>
      </c>
      <c r="Y32" s="373">
        <f t="shared" si="65"/>
        <v>7192.665451920001</v>
      </c>
      <c r="Z32" s="373">
        <f t="shared" si="66"/>
        <v>37333.1152</v>
      </c>
      <c r="AA32" s="376">
        <f t="shared" si="53"/>
        <v>2519.9852760000003</v>
      </c>
      <c r="AB32" s="373">
        <f t="shared" si="67"/>
        <v>6749.3244839200006</v>
      </c>
      <c r="AC32" s="373">
        <f t="shared" si="68"/>
        <v>46666.394</v>
      </c>
      <c r="AD32" s="376">
        <f t="shared" si="54"/>
        <v>2519.9852760000003</v>
      </c>
      <c r="AE32" s="373">
        <f t="shared" si="69"/>
        <v>6749.3244839200006</v>
      </c>
      <c r="AF32" s="373">
        <f t="shared" si="70"/>
        <v>55999.6728</v>
      </c>
      <c r="AG32" s="376">
        <f t="shared" si="71"/>
        <v>2519.9852760000003</v>
      </c>
      <c r="AH32" s="373">
        <f t="shared" si="72"/>
        <v>6749.3244839200006</v>
      </c>
      <c r="AI32" s="373">
        <f t="shared" si="73"/>
        <v>65332.9516</v>
      </c>
      <c r="AJ32" s="376">
        <f>H32*0.27</f>
        <v>2519.9852760000003</v>
      </c>
      <c r="AK32" s="373">
        <f t="shared" si="74"/>
        <v>6749.3244839200006</v>
      </c>
      <c r="AL32" s="373">
        <f t="shared" si="75"/>
        <v>74666.2304</v>
      </c>
      <c r="AM32" s="376">
        <f>H32*0.27</f>
        <v>2519.9852760000003</v>
      </c>
      <c r="AN32" s="373">
        <f t="shared" si="76"/>
        <v>6749.3244839200006</v>
      </c>
      <c r="AO32" s="373">
        <f t="shared" si="77"/>
        <v>83999.5092</v>
      </c>
      <c r="AP32" s="376">
        <f>H32*0.27</f>
        <v>2519.9852760000003</v>
      </c>
      <c r="AQ32" s="373">
        <f t="shared" si="78"/>
        <v>6749.3244839200006</v>
      </c>
      <c r="AR32" s="373">
        <f t="shared" si="79"/>
        <v>93332.788</v>
      </c>
      <c r="AS32" s="377">
        <f>(AR32-88000)*0.35+(88000-AO32)*0.27</f>
        <v>2946.6083159999998</v>
      </c>
      <c r="AT32" s="373">
        <f t="shared" si="80"/>
        <v>6322.7014439200011</v>
      </c>
      <c r="AU32" s="373">
        <f t="shared" si="81"/>
        <v>102666.0668</v>
      </c>
      <c r="AV32" s="377">
        <f t="shared" si="55"/>
        <v>3266.6475799999998</v>
      </c>
      <c r="AW32" s="373">
        <f t="shared" si="82"/>
        <v>6002.6621799200011</v>
      </c>
      <c r="AX32" s="373">
        <f t="shared" si="83"/>
        <v>111999.3456</v>
      </c>
      <c r="AY32" s="377">
        <f t="shared" si="56"/>
        <v>3266.6475799999998</v>
      </c>
      <c r="AZ32" s="373">
        <f t="shared" si="57"/>
        <v>6002.6621799200011</v>
      </c>
      <c r="BA32" s="292"/>
      <c r="BC32" s="358"/>
    </row>
    <row r="33" spans="1:55" ht="28.5" x14ac:dyDescent="0.45">
      <c r="A33" s="716"/>
      <c r="B33" s="347" t="s">
        <v>32</v>
      </c>
      <c r="C33" s="283">
        <v>450</v>
      </c>
      <c r="D33" s="238">
        <v>4996.0199999999995</v>
      </c>
      <c r="E33" s="238">
        <v>14988.06</v>
      </c>
      <c r="F33" s="238">
        <f t="shared" si="48"/>
        <v>19984.079999999998</v>
      </c>
      <c r="G33" s="233">
        <v>359</v>
      </c>
      <c r="H33" s="353">
        <f t="shared" si="58"/>
        <v>13512.949131999998</v>
      </c>
      <c r="I33" s="363">
        <v>0.63</v>
      </c>
      <c r="J33" s="362">
        <v>9500</v>
      </c>
      <c r="K33" s="361">
        <f t="shared" si="10"/>
        <v>9526.028738195464</v>
      </c>
      <c r="L33" s="390">
        <v>9254.0871761226681</v>
      </c>
      <c r="M33" s="390">
        <f t="shared" si="49"/>
        <v>-271.94156207279593</v>
      </c>
      <c r="N33" s="390"/>
      <c r="O33" s="390">
        <f t="shared" si="59"/>
        <v>10134.073125739857</v>
      </c>
      <c r="P33" s="372">
        <f t="shared" si="50"/>
        <v>91.554864271199989</v>
      </c>
      <c r="Q33" s="373">
        <f t="shared" si="60"/>
        <v>13512.949131999998</v>
      </c>
      <c r="R33" s="374">
        <f t="shared" si="51"/>
        <v>2202.5898263999998</v>
      </c>
      <c r="S33" s="373">
        <f t="shared" si="61"/>
        <v>11218.804441328797</v>
      </c>
      <c r="T33" s="373">
        <f t="shared" si="62"/>
        <v>27025.898263999996</v>
      </c>
      <c r="U33" s="376">
        <f>(T33-25000)*0.27+(25000-Q33)*0.2</f>
        <v>2844.4027048799999</v>
      </c>
      <c r="V33" s="373">
        <f t="shared" si="63"/>
        <v>10576.991562848798</v>
      </c>
      <c r="W33" s="373">
        <f t="shared" si="64"/>
        <v>40538.847395999997</v>
      </c>
      <c r="X33" s="376">
        <f t="shared" si="52"/>
        <v>3648.4962656399998</v>
      </c>
      <c r="Y33" s="373">
        <f t="shared" si="65"/>
        <v>9772.8980020887975</v>
      </c>
      <c r="Z33" s="373">
        <f t="shared" si="66"/>
        <v>54051.796527999992</v>
      </c>
      <c r="AA33" s="376">
        <f t="shared" si="53"/>
        <v>3648.4962656399998</v>
      </c>
      <c r="AB33" s="373">
        <f t="shared" si="67"/>
        <v>9772.8980020887975</v>
      </c>
      <c r="AC33" s="373">
        <f t="shared" si="68"/>
        <v>67564.745659999986</v>
      </c>
      <c r="AD33" s="376">
        <f t="shared" si="54"/>
        <v>3648.4962656399998</v>
      </c>
      <c r="AE33" s="373">
        <f t="shared" si="69"/>
        <v>9772.8980020887975</v>
      </c>
      <c r="AF33" s="373">
        <f t="shared" si="70"/>
        <v>81077.694791999995</v>
      </c>
      <c r="AG33" s="376">
        <f t="shared" si="71"/>
        <v>3648.4962656399998</v>
      </c>
      <c r="AH33" s="373">
        <f t="shared" si="72"/>
        <v>9772.8980020887975</v>
      </c>
      <c r="AI33" s="373">
        <f t="shared" si="73"/>
        <v>94590.643923999989</v>
      </c>
      <c r="AJ33" s="377">
        <f>(AI33-88000)*0.35+(88000-AF33)*0.27</f>
        <v>4175.7477795599971</v>
      </c>
      <c r="AK33" s="373">
        <f t="shared" si="74"/>
        <v>9245.6464881688007</v>
      </c>
      <c r="AL33" s="373">
        <f t="shared" si="75"/>
        <v>108103.59305599998</v>
      </c>
      <c r="AM33" s="377">
        <f>H33*0.35</f>
        <v>4729.5321961999989</v>
      </c>
      <c r="AN33" s="373">
        <f t="shared" si="76"/>
        <v>8691.862071528798</v>
      </c>
      <c r="AO33" s="373">
        <f t="shared" si="77"/>
        <v>121616.54218799998</v>
      </c>
      <c r="AP33" s="377">
        <f>H33*0.35</f>
        <v>4729.5321961999989</v>
      </c>
      <c r="AQ33" s="373">
        <f t="shared" si="78"/>
        <v>8691.862071528798</v>
      </c>
      <c r="AR33" s="373">
        <f t="shared" si="79"/>
        <v>135129.49131999997</v>
      </c>
      <c r="AS33" s="377">
        <f>H33*0.35</f>
        <v>4729.5321961999989</v>
      </c>
      <c r="AT33" s="373">
        <f t="shared" si="80"/>
        <v>8691.862071528798</v>
      </c>
      <c r="AU33" s="373">
        <f t="shared" si="81"/>
        <v>148642.44045199998</v>
      </c>
      <c r="AV33" s="377">
        <f t="shared" si="55"/>
        <v>4729.5321961999989</v>
      </c>
      <c r="AW33" s="373">
        <f t="shared" si="82"/>
        <v>8691.862071528798</v>
      </c>
      <c r="AX33" s="373">
        <f t="shared" si="83"/>
        <v>162155.38958399999</v>
      </c>
      <c r="AY33" s="377">
        <f t="shared" si="56"/>
        <v>4729.5321961999989</v>
      </c>
      <c r="AZ33" s="373">
        <f t="shared" si="57"/>
        <v>8691.862071528798</v>
      </c>
      <c r="BA33" s="292"/>
      <c r="BC33" s="358"/>
    </row>
    <row r="34" spans="1:55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48"/>
        <v>19984.079999999998</v>
      </c>
      <c r="G34" s="233">
        <v>359</v>
      </c>
      <c r="H34" s="353">
        <f t="shared" si="58"/>
        <v>11540.520435999999</v>
      </c>
      <c r="I34" s="464">
        <v>0.49</v>
      </c>
      <c r="J34" s="362">
        <v>8300</v>
      </c>
      <c r="K34" s="361">
        <f t="shared" si="10"/>
        <v>8256.9681151890672</v>
      </c>
      <c r="L34" s="390">
        <v>8166.3209278314671</v>
      </c>
      <c r="M34" s="390">
        <f t="shared" si="49"/>
        <v>-90.64718735760016</v>
      </c>
      <c r="N34" s="390"/>
      <c r="O34" s="390">
        <f t="shared" si="59"/>
        <v>8784.0086331798593</v>
      </c>
      <c r="P34" s="372">
        <f t="shared" si="50"/>
        <v>78.536834877599986</v>
      </c>
      <c r="Q34" s="373">
        <f t="shared" si="60"/>
        <v>11540.520435999999</v>
      </c>
      <c r="R34" s="374">
        <f t="shared" si="51"/>
        <v>1808.1040871999999</v>
      </c>
      <c r="S34" s="373">
        <f t="shared" si="61"/>
        <v>9653.8795139224003</v>
      </c>
      <c r="T34" s="373">
        <f t="shared" si="62"/>
        <v>23081.040871999998</v>
      </c>
      <c r="U34" s="376">
        <f>Q34*0.2</f>
        <v>2308.1040871999999</v>
      </c>
      <c r="V34" s="373">
        <f t="shared" si="63"/>
        <v>9153.8795139224003</v>
      </c>
      <c r="W34" s="373">
        <f t="shared" si="64"/>
        <v>34621.561307999997</v>
      </c>
      <c r="X34" s="376">
        <f>(W34-25000)*0.27+(25000-T34)*0.2</f>
        <v>2981.6133787600002</v>
      </c>
      <c r="Y34" s="373">
        <f t="shared" si="65"/>
        <v>8480.3702223623986</v>
      </c>
      <c r="Z34" s="373">
        <f t="shared" si="66"/>
        <v>46162.081743999996</v>
      </c>
      <c r="AA34" s="376">
        <f t="shared" si="53"/>
        <v>3115.9405177200001</v>
      </c>
      <c r="AB34" s="373">
        <f t="shared" si="67"/>
        <v>8346.0430834023991</v>
      </c>
      <c r="AC34" s="373">
        <f t="shared" si="68"/>
        <v>57702.602179999994</v>
      </c>
      <c r="AD34" s="376">
        <f t="shared" si="54"/>
        <v>3115.9405177200001</v>
      </c>
      <c r="AE34" s="373">
        <f t="shared" si="69"/>
        <v>8346.0430834023991</v>
      </c>
      <c r="AF34" s="373">
        <f t="shared" si="70"/>
        <v>69243.122615999993</v>
      </c>
      <c r="AG34" s="376">
        <f t="shared" si="71"/>
        <v>3115.9405177200001</v>
      </c>
      <c r="AH34" s="373">
        <f t="shared" si="72"/>
        <v>8346.0430834023991</v>
      </c>
      <c r="AI34" s="373">
        <f t="shared" si="73"/>
        <v>80783.643051999999</v>
      </c>
      <c r="AJ34" s="376">
        <f>H34*0.27</f>
        <v>3115.9405177200001</v>
      </c>
      <c r="AK34" s="373">
        <f t="shared" si="74"/>
        <v>8346.0430834023991</v>
      </c>
      <c r="AL34" s="373">
        <f t="shared" si="75"/>
        <v>92324.163487999991</v>
      </c>
      <c r="AM34" s="377">
        <f>(AL34-88000)*0.35+(88000-AI34)*0.27</f>
        <v>3461.8735967599969</v>
      </c>
      <c r="AN34" s="373">
        <f t="shared" si="76"/>
        <v>8000.1100043624028</v>
      </c>
      <c r="AO34" s="373">
        <f t="shared" si="77"/>
        <v>103864.68392399998</v>
      </c>
      <c r="AP34" s="377">
        <f>H34*0.35</f>
        <v>4039.1821525999994</v>
      </c>
      <c r="AQ34" s="373">
        <f t="shared" si="78"/>
        <v>7422.8014485224003</v>
      </c>
      <c r="AR34" s="373">
        <f t="shared" si="79"/>
        <v>115405.20435999999</v>
      </c>
      <c r="AS34" s="377">
        <f>H34*0.35</f>
        <v>4039.1821525999994</v>
      </c>
      <c r="AT34" s="373">
        <f t="shared" si="80"/>
        <v>7422.8014485224003</v>
      </c>
      <c r="AU34" s="373">
        <f t="shared" si="81"/>
        <v>126945.72479599999</v>
      </c>
      <c r="AV34" s="377">
        <f t="shared" si="55"/>
        <v>4039.1821525999994</v>
      </c>
      <c r="AW34" s="373">
        <f t="shared" si="82"/>
        <v>7422.8014485224003</v>
      </c>
      <c r="AX34" s="373">
        <f t="shared" si="83"/>
        <v>138486.24523199999</v>
      </c>
      <c r="AY34" s="377">
        <f t="shared" si="56"/>
        <v>4039.1821525999994</v>
      </c>
      <c r="AZ34" s="373">
        <f t="shared" si="57"/>
        <v>7422.8014485224003</v>
      </c>
      <c r="BA34" s="292"/>
      <c r="BC34" s="358"/>
    </row>
    <row r="35" spans="1:55" ht="28.5" x14ac:dyDescent="0.45">
      <c r="A35" s="716"/>
      <c r="B35" s="547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48"/>
        <v>14988.059999999998</v>
      </c>
      <c r="G35" s="233">
        <v>359</v>
      </c>
      <c r="H35" s="353">
        <f t="shared" si="58"/>
        <v>10084.680207999998</v>
      </c>
      <c r="I35" s="464">
        <v>0.57999999999999996</v>
      </c>
      <c r="J35" s="362">
        <v>7300</v>
      </c>
      <c r="K35" s="361">
        <f t="shared" si="10"/>
        <v>7320.280512493865</v>
      </c>
      <c r="L35" s="390">
        <v>7138.9861377786683</v>
      </c>
      <c r="M35" s="390">
        <f t="shared" si="49"/>
        <v>-181.29437471519668</v>
      </c>
      <c r="N35" s="390"/>
      <c r="O35" s="390">
        <f t="shared" si="59"/>
        <v>7787.5324600998565</v>
      </c>
      <c r="P35" s="372">
        <f t="shared" si="50"/>
        <v>68.928289372799981</v>
      </c>
      <c r="Q35" s="373">
        <f t="shared" si="60"/>
        <v>10084.680207999998</v>
      </c>
      <c r="R35" s="378">
        <f t="shared" ref="R35:R38" si="86">Q35*0.15</f>
        <v>1512.7020311999997</v>
      </c>
      <c r="S35" s="373">
        <f t="shared" si="61"/>
        <v>8503.049887427198</v>
      </c>
      <c r="T35" s="373">
        <f t="shared" si="62"/>
        <v>20169.360415999996</v>
      </c>
      <c r="U35" s="374">
        <f t="shared" ref="U35:U38" si="87">(T35-10000)*0.2+(10000-Q35)*0.15</f>
        <v>2021.1700519999995</v>
      </c>
      <c r="V35" s="373">
        <f t="shared" si="63"/>
        <v>7994.5818666271989</v>
      </c>
      <c r="W35" s="373">
        <f t="shared" si="64"/>
        <v>30254.040623999994</v>
      </c>
      <c r="X35" s="376">
        <f>(W35-25000)*0.27+(25000-T35)*0.2</f>
        <v>2384.7188852799995</v>
      </c>
      <c r="Y35" s="373">
        <f t="shared" si="65"/>
        <v>7631.0330333471993</v>
      </c>
      <c r="Z35" s="373">
        <f t="shared" si="66"/>
        <v>40338.720831999992</v>
      </c>
      <c r="AA35" s="376">
        <f t="shared" si="53"/>
        <v>2722.8636561599997</v>
      </c>
      <c r="AB35" s="373">
        <f t="shared" si="67"/>
        <v>7292.8882624671987</v>
      </c>
      <c r="AC35" s="373">
        <f t="shared" si="68"/>
        <v>50423.40103999999</v>
      </c>
      <c r="AD35" s="376">
        <f t="shared" si="54"/>
        <v>2722.8636561599997</v>
      </c>
      <c r="AE35" s="373">
        <f t="shared" si="69"/>
        <v>7292.8882624671987</v>
      </c>
      <c r="AF35" s="373">
        <f t="shared" si="70"/>
        <v>60508.081247999988</v>
      </c>
      <c r="AG35" s="376">
        <f t="shared" si="71"/>
        <v>2722.8636561599997</v>
      </c>
      <c r="AH35" s="373">
        <f t="shared" si="72"/>
        <v>7292.8882624671987</v>
      </c>
      <c r="AI35" s="373">
        <f t="shared" si="73"/>
        <v>70592.761455999978</v>
      </c>
      <c r="AJ35" s="376">
        <f>H35*0.27</f>
        <v>2722.8636561599997</v>
      </c>
      <c r="AK35" s="373">
        <f t="shared" si="74"/>
        <v>7292.8882624671987</v>
      </c>
      <c r="AL35" s="373">
        <f t="shared" si="75"/>
        <v>80677.441663999984</v>
      </c>
      <c r="AM35" s="376">
        <f>H35*0.27</f>
        <v>2722.8636561599997</v>
      </c>
      <c r="AN35" s="373">
        <f t="shared" si="76"/>
        <v>7292.8882624671987</v>
      </c>
      <c r="AO35" s="373">
        <f t="shared" si="77"/>
        <v>90762.121871999989</v>
      </c>
      <c r="AP35" s="377">
        <f>(AO35-88000)*0.35+(88000-AL35)*0.27</f>
        <v>2943.8334059200006</v>
      </c>
      <c r="AQ35" s="373">
        <f t="shared" si="78"/>
        <v>7071.9185127071978</v>
      </c>
      <c r="AR35" s="373">
        <f t="shared" si="79"/>
        <v>100846.80207999998</v>
      </c>
      <c r="AS35" s="377">
        <f>H35*0.35</f>
        <v>3529.638072799999</v>
      </c>
      <c r="AT35" s="373">
        <f t="shared" si="80"/>
        <v>6486.1138458271998</v>
      </c>
      <c r="AU35" s="373">
        <f t="shared" si="81"/>
        <v>110931.48228799997</v>
      </c>
      <c r="AV35" s="377">
        <f t="shared" si="55"/>
        <v>3529.638072799999</v>
      </c>
      <c r="AW35" s="373">
        <f t="shared" si="82"/>
        <v>6486.1138458271998</v>
      </c>
      <c r="AX35" s="373">
        <f t="shared" si="83"/>
        <v>121016.16249599998</v>
      </c>
      <c r="AY35" s="377">
        <f t="shared" si="56"/>
        <v>3529.638072799999</v>
      </c>
      <c r="AZ35" s="373">
        <f t="shared" si="57"/>
        <v>6486.1138458271998</v>
      </c>
      <c r="BA35" s="292"/>
      <c r="BC35" s="358"/>
    </row>
    <row r="36" spans="1:55" ht="28.5" x14ac:dyDescent="0.45">
      <c r="A36" s="716"/>
      <c r="B36" s="547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48"/>
        <v>14988.059999999998</v>
      </c>
      <c r="G36" s="233">
        <v>359</v>
      </c>
      <c r="H36" s="353">
        <f t="shared" si="58"/>
        <v>9802.9046799999996</v>
      </c>
      <c r="I36" s="363">
        <v>0.55000000000000004</v>
      </c>
      <c r="J36" s="362">
        <v>7100</v>
      </c>
      <c r="K36" s="361">
        <f t="shared" si="10"/>
        <v>7138.9861377786683</v>
      </c>
      <c r="L36" s="390">
        <v>7138.9861377786683</v>
      </c>
      <c r="M36" s="390">
        <f t="shared" si="49"/>
        <v>0</v>
      </c>
      <c r="N36" s="390"/>
      <c r="O36" s="390">
        <f t="shared" si="59"/>
        <v>7594.6661040198605</v>
      </c>
      <c r="P36" s="372">
        <f t="shared" si="50"/>
        <v>67.068570887999996</v>
      </c>
      <c r="Q36" s="373">
        <f t="shared" si="60"/>
        <v>9802.9046799999996</v>
      </c>
      <c r="R36" s="378">
        <f t="shared" si="86"/>
        <v>1470.435702</v>
      </c>
      <c r="S36" s="373">
        <f t="shared" si="61"/>
        <v>8265.4004071119998</v>
      </c>
      <c r="T36" s="373">
        <f t="shared" si="62"/>
        <v>19605.809359999999</v>
      </c>
      <c r="U36" s="374">
        <f t="shared" si="87"/>
        <v>1950.7261699999999</v>
      </c>
      <c r="V36" s="373">
        <f t="shared" si="63"/>
        <v>7785.1099391120006</v>
      </c>
      <c r="W36" s="373">
        <f t="shared" si="64"/>
        <v>29408.714039999999</v>
      </c>
      <c r="X36" s="376">
        <f>(W36-25000)*0.27+(25000-T36)*0.2</f>
        <v>2269.1909188</v>
      </c>
      <c r="Y36" s="373">
        <f t="shared" si="65"/>
        <v>7466.6451903120005</v>
      </c>
      <c r="Z36" s="373">
        <f t="shared" si="66"/>
        <v>39211.618719999999</v>
      </c>
      <c r="AA36" s="376">
        <f t="shared" si="53"/>
        <v>2646.7842636</v>
      </c>
      <c r="AB36" s="373">
        <f t="shared" si="67"/>
        <v>7089.051845512</v>
      </c>
      <c r="AC36" s="373">
        <f t="shared" si="68"/>
        <v>49014.523399999998</v>
      </c>
      <c r="AD36" s="376">
        <f t="shared" si="54"/>
        <v>2646.7842636</v>
      </c>
      <c r="AE36" s="373">
        <f t="shared" si="69"/>
        <v>7089.051845512</v>
      </c>
      <c r="AF36" s="373">
        <f t="shared" si="70"/>
        <v>58817.428079999998</v>
      </c>
      <c r="AG36" s="376">
        <f t="shared" si="71"/>
        <v>2646.7842636</v>
      </c>
      <c r="AH36" s="373">
        <f t="shared" si="72"/>
        <v>7089.051845512</v>
      </c>
      <c r="AI36" s="373">
        <f t="shared" si="73"/>
        <v>68620.33275999999</v>
      </c>
      <c r="AJ36" s="376">
        <f>H36*0.27</f>
        <v>2646.7842636</v>
      </c>
      <c r="AK36" s="373">
        <f t="shared" si="74"/>
        <v>7089.051845512</v>
      </c>
      <c r="AL36" s="373">
        <f t="shared" si="75"/>
        <v>78423.237439999997</v>
      </c>
      <c r="AM36" s="376">
        <f>H36*0.27</f>
        <v>2646.7842636</v>
      </c>
      <c r="AN36" s="373">
        <f t="shared" si="76"/>
        <v>7089.051845512</v>
      </c>
      <c r="AO36" s="373">
        <f t="shared" si="77"/>
        <v>88226.142120000004</v>
      </c>
      <c r="AP36" s="377">
        <f>(AO36-88000)*0.35+(88000-AL36)*0.27</f>
        <v>2664.8756332000025</v>
      </c>
      <c r="AQ36" s="373">
        <f t="shared" si="78"/>
        <v>7070.9604759119975</v>
      </c>
      <c r="AR36" s="373">
        <f t="shared" si="79"/>
        <v>98029.046799999996</v>
      </c>
      <c r="AS36" s="377">
        <f>H36*0.35</f>
        <v>3431.0166379999996</v>
      </c>
      <c r="AT36" s="373">
        <f t="shared" si="80"/>
        <v>6304.8194711120013</v>
      </c>
      <c r="AU36" s="373">
        <f t="shared" si="81"/>
        <v>107831.95147999999</v>
      </c>
      <c r="AV36" s="377">
        <f t="shared" si="55"/>
        <v>3431.0166379999996</v>
      </c>
      <c r="AW36" s="373">
        <f t="shared" si="82"/>
        <v>6304.8194711120013</v>
      </c>
      <c r="AX36" s="373">
        <f t="shared" si="83"/>
        <v>117634.85616</v>
      </c>
      <c r="AY36" s="377">
        <f t="shared" si="56"/>
        <v>3431.0166379999996</v>
      </c>
      <c r="AZ36" s="373">
        <f t="shared" si="57"/>
        <v>6304.8194711120013</v>
      </c>
      <c r="BA36" s="292"/>
      <c r="BC36" s="358"/>
    </row>
    <row r="37" spans="1:55" ht="28.5" x14ac:dyDescent="0.45">
      <c r="A37" s="716"/>
      <c r="B37" s="547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48"/>
        <v>14988.059999999998</v>
      </c>
      <c r="G37" s="233">
        <v>359</v>
      </c>
      <c r="H37" s="353">
        <f t="shared" si="58"/>
        <v>9333.2788</v>
      </c>
      <c r="I37" s="363">
        <v>0.5</v>
      </c>
      <c r="J37" s="362">
        <v>6900</v>
      </c>
      <c r="K37" s="361">
        <f t="shared" si="10"/>
        <v>6836.8288465866681</v>
      </c>
      <c r="L37" s="390">
        <v>6836.8288465866681</v>
      </c>
      <c r="M37" s="390">
        <f t="shared" si="49"/>
        <v>0</v>
      </c>
      <c r="N37" s="390"/>
      <c r="O37" s="390">
        <f t="shared" si="59"/>
        <v>7273.22217721986</v>
      </c>
      <c r="P37" s="372">
        <f t="shared" si="50"/>
        <v>63.969040079999999</v>
      </c>
      <c r="Q37" s="373">
        <f t="shared" si="60"/>
        <v>9333.2788</v>
      </c>
      <c r="R37" s="378">
        <f t="shared" si="86"/>
        <v>1399.99182</v>
      </c>
      <c r="S37" s="373">
        <f t="shared" si="61"/>
        <v>7869.3179399200008</v>
      </c>
      <c r="T37" s="373">
        <f t="shared" si="62"/>
        <v>18666.5576</v>
      </c>
      <c r="U37" s="374">
        <f t="shared" si="87"/>
        <v>1833.3197000000002</v>
      </c>
      <c r="V37" s="373">
        <f t="shared" si="63"/>
        <v>7435.9900599200009</v>
      </c>
      <c r="W37" s="373">
        <f t="shared" si="64"/>
        <v>27999.8364</v>
      </c>
      <c r="X37" s="376">
        <f>(W37-25000)*0.27+(25000-T37)*0.2</f>
        <v>2076.6443079999999</v>
      </c>
      <c r="Y37" s="373">
        <f t="shared" si="65"/>
        <v>7192.665451920001</v>
      </c>
      <c r="Z37" s="373">
        <f t="shared" si="66"/>
        <v>37333.1152</v>
      </c>
      <c r="AA37" s="376">
        <f t="shared" si="53"/>
        <v>2519.9852760000003</v>
      </c>
      <c r="AB37" s="373">
        <f t="shared" si="67"/>
        <v>6749.3244839200006</v>
      </c>
      <c r="AC37" s="373">
        <f t="shared" si="68"/>
        <v>46666.394</v>
      </c>
      <c r="AD37" s="376">
        <f t="shared" si="54"/>
        <v>2519.9852760000003</v>
      </c>
      <c r="AE37" s="373">
        <f t="shared" si="69"/>
        <v>6749.3244839200006</v>
      </c>
      <c r="AF37" s="373">
        <f t="shared" si="70"/>
        <v>55999.6728</v>
      </c>
      <c r="AG37" s="376">
        <f t="shared" si="71"/>
        <v>2519.9852760000003</v>
      </c>
      <c r="AH37" s="373">
        <f t="shared" si="72"/>
        <v>6749.3244839200006</v>
      </c>
      <c r="AI37" s="373">
        <f t="shared" si="73"/>
        <v>65332.9516</v>
      </c>
      <c r="AJ37" s="376">
        <f>H37*0.27</f>
        <v>2519.9852760000003</v>
      </c>
      <c r="AK37" s="373">
        <f t="shared" si="74"/>
        <v>6749.3244839200006</v>
      </c>
      <c r="AL37" s="373">
        <f t="shared" si="75"/>
        <v>74666.2304</v>
      </c>
      <c r="AM37" s="376">
        <f>H37*0.27</f>
        <v>2519.9852760000003</v>
      </c>
      <c r="AN37" s="373">
        <f t="shared" si="76"/>
        <v>6749.3244839200006</v>
      </c>
      <c r="AO37" s="373">
        <f t="shared" si="77"/>
        <v>83999.5092</v>
      </c>
      <c r="AP37" s="376">
        <f>H37*0.27</f>
        <v>2519.9852760000003</v>
      </c>
      <c r="AQ37" s="373">
        <f t="shared" si="78"/>
        <v>6749.3244839200006</v>
      </c>
      <c r="AR37" s="373">
        <f t="shared" si="79"/>
        <v>93332.788</v>
      </c>
      <c r="AS37" s="377">
        <f>(AR37-88000)*0.35+(88000-AO37)*0.27</f>
        <v>2946.6083159999998</v>
      </c>
      <c r="AT37" s="373">
        <f t="shared" si="80"/>
        <v>6322.7014439200011</v>
      </c>
      <c r="AU37" s="373">
        <f t="shared" si="81"/>
        <v>102666.0668</v>
      </c>
      <c r="AV37" s="377">
        <f t="shared" si="55"/>
        <v>3266.6475799999998</v>
      </c>
      <c r="AW37" s="373">
        <f t="shared" si="82"/>
        <v>6002.6621799200011</v>
      </c>
      <c r="AX37" s="373">
        <f t="shared" si="83"/>
        <v>111999.3456</v>
      </c>
      <c r="AY37" s="377">
        <f t="shared" si="56"/>
        <v>3266.6475799999998</v>
      </c>
      <c r="AZ37" s="373">
        <f t="shared" si="57"/>
        <v>6002.6621799200011</v>
      </c>
      <c r="BA37" s="292"/>
      <c r="BC37" s="358"/>
    </row>
    <row r="38" spans="1:55" ht="28.5" x14ac:dyDescent="0.45">
      <c r="A38" s="716"/>
      <c r="B38" s="392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48"/>
        <v>14988.059999999998</v>
      </c>
      <c r="G38" s="233">
        <v>359</v>
      </c>
      <c r="H38" s="353">
        <f t="shared" si="58"/>
        <v>6421.5983439999991</v>
      </c>
      <c r="I38" s="391">
        <v>0.19</v>
      </c>
      <c r="J38" s="362">
        <v>4900</v>
      </c>
      <c r="K38" s="361">
        <f t="shared" si="10"/>
        <v>4890.514842049598</v>
      </c>
      <c r="L38" s="390">
        <v>4890.514842049598</v>
      </c>
      <c r="M38" s="390">
        <f t="shared" si="49"/>
        <v>0</v>
      </c>
      <c r="N38" s="390"/>
      <c r="O38" s="390">
        <f t="shared" si="59"/>
        <v>5202.6753638825512</v>
      </c>
      <c r="P38" s="372">
        <f t="shared" si="50"/>
        <v>44.751949070399995</v>
      </c>
      <c r="Q38" s="373">
        <f t="shared" si="60"/>
        <v>6421.5983439999991</v>
      </c>
      <c r="R38" s="378">
        <f t="shared" si="86"/>
        <v>963.23975159999986</v>
      </c>
      <c r="S38" s="373">
        <f t="shared" si="61"/>
        <v>5413.6066433295991</v>
      </c>
      <c r="T38" s="373">
        <f t="shared" si="62"/>
        <v>12843.196687999998</v>
      </c>
      <c r="U38" s="374">
        <f t="shared" si="87"/>
        <v>1105.3995859999998</v>
      </c>
      <c r="V38" s="373">
        <f t="shared" si="63"/>
        <v>5271.4468089295997</v>
      </c>
      <c r="W38" s="373">
        <f t="shared" si="64"/>
        <v>19264.795031999998</v>
      </c>
      <c r="X38" s="374">
        <f>Q38*0.2</f>
        <v>1284.3196687999998</v>
      </c>
      <c r="Y38" s="373">
        <f t="shared" si="65"/>
        <v>5092.5267261295994</v>
      </c>
      <c r="Z38" s="373">
        <f t="shared" si="66"/>
        <v>25686.393375999996</v>
      </c>
      <c r="AA38" s="376">
        <f>(Z38-25000)*0.27+(25000-W38)*0.2</f>
        <v>1332.3672051199994</v>
      </c>
      <c r="AB38" s="373">
        <f t="shared" si="67"/>
        <v>5044.4791898096</v>
      </c>
      <c r="AC38" s="373">
        <f t="shared" si="68"/>
        <v>32107.991719999995</v>
      </c>
      <c r="AD38" s="376">
        <f t="shared" si="54"/>
        <v>1733.8315528799999</v>
      </c>
      <c r="AE38" s="373">
        <f t="shared" si="69"/>
        <v>4643.0148420495989</v>
      </c>
      <c r="AF38" s="373">
        <f t="shared" si="70"/>
        <v>38529.590063999996</v>
      </c>
      <c r="AG38" s="376">
        <f t="shared" si="71"/>
        <v>1733.8315528799999</v>
      </c>
      <c r="AH38" s="373">
        <f t="shared" si="72"/>
        <v>4643.0148420495989</v>
      </c>
      <c r="AI38" s="373">
        <f t="shared" si="73"/>
        <v>44951.188407999995</v>
      </c>
      <c r="AJ38" s="376">
        <f>H38*0.27</f>
        <v>1733.8315528799999</v>
      </c>
      <c r="AK38" s="373">
        <f t="shared" si="74"/>
        <v>4643.0148420495989</v>
      </c>
      <c r="AL38" s="373">
        <f t="shared" si="75"/>
        <v>51372.786751999993</v>
      </c>
      <c r="AM38" s="376">
        <f>H38*0.27</f>
        <v>1733.8315528799999</v>
      </c>
      <c r="AN38" s="373">
        <f t="shared" si="76"/>
        <v>4643.0148420495989</v>
      </c>
      <c r="AO38" s="373">
        <f t="shared" si="77"/>
        <v>57794.385095999991</v>
      </c>
      <c r="AP38" s="376">
        <f>H38*0.27</f>
        <v>1733.8315528799999</v>
      </c>
      <c r="AQ38" s="373">
        <f t="shared" si="78"/>
        <v>4643.0148420495989</v>
      </c>
      <c r="AR38" s="373">
        <f t="shared" si="79"/>
        <v>64215.983439999989</v>
      </c>
      <c r="AS38" s="376">
        <f>H38*0.27</f>
        <v>1733.8315528799999</v>
      </c>
      <c r="AT38" s="373">
        <f t="shared" si="80"/>
        <v>4643.0148420495989</v>
      </c>
      <c r="AU38" s="373">
        <f t="shared" si="81"/>
        <v>70637.581783999995</v>
      </c>
      <c r="AV38" s="376">
        <f>H38*0.27</f>
        <v>1733.8315528799999</v>
      </c>
      <c r="AW38" s="373">
        <f t="shared" si="82"/>
        <v>4643.0148420495989</v>
      </c>
      <c r="AX38" s="373">
        <f t="shared" si="83"/>
        <v>77059.180127999993</v>
      </c>
      <c r="AY38" s="376">
        <f>H38*0.27</f>
        <v>1733.8315528799999</v>
      </c>
      <c r="AZ38" s="373">
        <f t="shared" si="57"/>
        <v>4643.0148420495989</v>
      </c>
      <c r="BA38" s="292"/>
      <c r="BC38" s="358"/>
    </row>
    <row r="39" spans="1:55" ht="28.5" x14ac:dyDescent="0.45">
      <c r="A39" s="716" t="s">
        <v>29</v>
      </c>
      <c r="B39" s="547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48"/>
        <v>24980.1</v>
      </c>
      <c r="G39" s="233">
        <v>359</v>
      </c>
      <c r="H39" s="353">
        <f t="shared" si="58"/>
        <v>16659.442528</v>
      </c>
      <c r="I39" s="363">
        <v>0.64</v>
      </c>
      <c r="J39" s="362">
        <v>11600</v>
      </c>
      <c r="K39" s="361">
        <f t="shared" si="10"/>
        <v>11550.482589181869</v>
      </c>
      <c r="L39" s="390">
        <v>11308.756756228262</v>
      </c>
      <c r="M39" s="390">
        <f t="shared" si="49"/>
        <v>-241.7258329536071</v>
      </c>
      <c r="N39" s="390"/>
      <c r="O39" s="390">
        <f t="shared" si="59"/>
        <v>12287.747435299862</v>
      </c>
      <c r="P39" s="372">
        <f t="shared" si="50"/>
        <v>112.3217206848</v>
      </c>
      <c r="Q39" s="373">
        <f t="shared" si="60"/>
        <v>16659.442528</v>
      </c>
      <c r="R39" s="374">
        <f t="shared" si="51"/>
        <v>2831.8885055999999</v>
      </c>
      <c r="S39" s="373">
        <f t="shared" si="61"/>
        <v>13715.232301715201</v>
      </c>
      <c r="T39" s="373">
        <f t="shared" si="62"/>
        <v>33318.885055999999</v>
      </c>
      <c r="U39" s="376">
        <f>(T39-25000)*0.27+(25000-Q39)*0.2</f>
        <v>3914.2104595199999</v>
      </c>
      <c r="V39" s="373">
        <f t="shared" si="63"/>
        <v>12632.910347795201</v>
      </c>
      <c r="W39" s="373">
        <f t="shared" si="64"/>
        <v>49978.327583999999</v>
      </c>
      <c r="X39" s="376">
        <f t="shared" ref="X39" si="88">Q39*0.27</f>
        <v>4498.0494825599999</v>
      </c>
      <c r="Y39" s="373">
        <f t="shared" si="65"/>
        <v>12049.071324755201</v>
      </c>
      <c r="Z39" s="373">
        <f t="shared" si="66"/>
        <v>66637.770111999998</v>
      </c>
      <c r="AA39" s="376">
        <f t="shared" ref="AA39:AA45" si="89">H39*0.27</f>
        <v>4498.0494825599999</v>
      </c>
      <c r="AB39" s="373">
        <f t="shared" si="67"/>
        <v>12049.071324755201</v>
      </c>
      <c r="AC39" s="373">
        <f t="shared" si="68"/>
        <v>83297.212639999998</v>
      </c>
      <c r="AD39" s="376">
        <f t="shared" si="54"/>
        <v>4498.0494825599999</v>
      </c>
      <c r="AE39" s="373">
        <f t="shared" si="69"/>
        <v>12049.071324755201</v>
      </c>
      <c r="AF39" s="373">
        <f t="shared" si="70"/>
        <v>99956.655167999998</v>
      </c>
      <c r="AG39" s="377">
        <f>(AF39-88000)*0.35+(88000-AC39)*0.27</f>
        <v>5454.5818959999997</v>
      </c>
      <c r="AH39" s="373">
        <f t="shared" si="72"/>
        <v>11092.538911315201</v>
      </c>
      <c r="AI39" s="373">
        <f t="shared" si="73"/>
        <v>116616.097696</v>
      </c>
      <c r="AJ39" s="377">
        <f>H39*0.35</f>
        <v>5830.8048847999999</v>
      </c>
      <c r="AK39" s="373">
        <f t="shared" si="74"/>
        <v>10716.315922515201</v>
      </c>
      <c r="AL39" s="373">
        <f t="shared" si="75"/>
        <v>133275.540224</v>
      </c>
      <c r="AM39" s="377">
        <f>H39*0.35</f>
        <v>5830.8048847999999</v>
      </c>
      <c r="AN39" s="373">
        <f t="shared" si="76"/>
        <v>10716.315922515201</v>
      </c>
      <c r="AO39" s="373">
        <f t="shared" si="77"/>
        <v>149934.98275199998</v>
      </c>
      <c r="AP39" s="377">
        <f>H39*0.35</f>
        <v>5830.8048847999999</v>
      </c>
      <c r="AQ39" s="373">
        <f t="shared" si="78"/>
        <v>10716.315922515201</v>
      </c>
      <c r="AR39" s="373">
        <f t="shared" si="79"/>
        <v>166594.42528</v>
      </c>
      <c r="AS39" s="377">
        <f>H39*0.35</f>
        <v>5830.8048847999999</v>
      </c>
      <c r="AT39" s="373">
        <f t="shared" si="80"/>
        <v>10716.315922515201</v>
      </c>
      <c r="AU39" s="373">
        <f t="shared" si="81"/>
        <v>183253.86780800001</v>
      </c>
      <c r="AV39" s="377">
        <f t="shared" ref="AV39:AV45" si="90">H39*0.35</f>
        <v>5830.8048847999999</v>
      </c>
      <c r="AW39" s="373">
        <f t="shared" si="82"/>
        <v>10716.315922515201</v>
      </c>
      <c r="AX39" s="373">
        <f t="shared" si="83"/>
        <v>199913.310336</v>
      </c>
      <c r="AY39" s="377">
        <f t="shared" ref="AY39:AY45" si="91">H39*0.35</f>
        <v>5830.8048847999999</v>
      </c>
      <c r="AZ39" s="373">
        <f t="shared" si="57"/>
        <v>10716.315922515201</v>
      </c>
      <c r="BA39" s="292"/>
      <c r="BC39" s="358"/>
    </row>
    <row r="40" spans="1:55" ht="28.5" x14ac:dyDescent="0.45">
      <c r="A40" s="716"/>
      <c r="B40" s="547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48"/>
        <v>24980.1</v>
      </c>
      <c r="G40" s="233">
        <v>359</v>
      </c>
      <c r="H40" s="353">
        <f t="shared" si="58"/>
        <v>10836.081615999999</v>
      </c>
      <c r="I40" s="363">
        <v>0.33</v>
      </c>
      <c r="J40" s="362">
        <v>7900</v>
      </c>
      <c r="K40" s="361">
        <f t="shared" si="10"/>
        <v>7803.7321784010674</v>
      </c>
      <c r="L40" s="390">
        <v>7803.7321784010674</v>
      </c>
      <c r="M40" s="390">
        <f t="shared" si="49"/>
        <v>0</v>
      </c>
      <c r="N40" s="390"/>
      <c r="O40" s="390">
        <f t="shared" si="59"/>
        <v>8301.8427429798594</v>
      </c>
      <c r="P40" s="372">
        <f t="shared" si="50"/>
        <v>73.88753866559999</v>
      </c>
      <c r="Q40" s="373">
        <f t="shared" si="60"/>
        <v>10836.081615999999</v>
      </c>
      <c r="R40" s="374">
        <f t="shared" si="51"/>
        <v>1667.2163231999998</v>
      </c>
      <c r="S40" s="373">
        <f t="shared" si="61"/>
        <v>9094.9777541343992</v>
      </c>
      <c r="T40" s="373">
        <f t="shared" si="62"/>
        <v>21672.163231999999</v>
      </c>
      <c r="U40" s="374">
        <f>H40*0.2</f>
        <v>2167.2163231999998</v>
      </c>
      <c r="V40" s="373">
        <f t="shared" si="63"/>
        <v>8594.9777541343992</v>
      </c>
      <c r="W40" s="373">
        <f t="shared" si="64"/>
        <v>32508.244847999998</v>
      </c>
      <c r="X40" s="376">
        <f t="shared" ref="X40:X45" si="92">(W40-25000)*0.27+(25000-T40)*0.2</f>
        <v>2692.7934625600001</v>
      </c>
      <c r="Y40" s="373">
        <f t="shared" si="65"/>
        <v>8069.4006147743994</v>
      </c>
      <c r="Z40" s="373">
        <f t="shared" si="66"/>
        <v>43344.326463999998</v>
      </c>
      <c r="AA40" s="376">
        <f t="shared" si="89"/>
        <v>2925.7420363199999</v>
      </c>
      <c r="AB40" s="373">
        <f t="shared" si="67"/>
        <v>7836.4520410143996</v>
      </c>
      <c r="AC40" s="373">
        <f t="shared" si="68"/>
        <v>54180.408079999994</v>
      </c>
      <c r="AD40" s="376">
        <f t="shared" si="54"/>
        <v>2925.7420363199999</v>
      </c>
      <c r="AE40" s="373">
        <f t="shared" si="69"/>
        <v>7836.4520410143996</v>
      </c>
      <c r="AF40" s="373">
        <f t="shared" si="70"/>
        <v>65016.489695999997</v>
      </c>
      <c r="AG40" s="376">
        <f t="shared" ref="AG40:AG51" si="93">H40*0.27</f>
        <v>2925.7420363199999</v>
      </c>
      <c r="AH40" s="373">
        <f t="shared" si="72"/>
        <v>7836.4520410143996</v>
      </c>
      <c r="AI40" s="373">
        <f t="shared" si="73"/>
        <v>75852.571312</v>
      </c>
      <c r="AJ40" s="376">
        <f>H40*0.27</f>
        <v>2925.7420363199999</v>
      </c>
      <c r="AK40" s="373">
        <f t="shared" si="74"/>
        <v>7836.4520410143996</v>
      </c>
      <c r="AL40" s="373">
        <f t="shared" si="75"/>
        <v>86688.652927999996</v>
      </c>
      <c r="AM40" s="376">
        <f>H40*0.27</f>
        <v>2925.7420363199999</v>
      </c>
      <c r="AN40" s="373">
        <f t="shared" si="76"/>
        <v>7836.4520410143996</v>
      </c>
      <c r="AO40" s="373">
        <f t="shared" si="77"/>
        <v>97524.734543999992</v>
      </c>
      <c r="AP40" s="377">
        <f>(AO40-88000)*0.35+(88000-AL40)*0.27</f>
        <v>3687.7207998399981</v>
      </c>
      <c r="AQ40" s="373">
        <f t="shared" si="78"/>
        <v>7074.4732774944014</v>
      </c>
      <c r="AR40" s="373">
        <f t="shared" si="79"/>
        <v>108360.81615999999</v>
      </c>
      <c r="AS40" s="377">
        <f>H40*0.35</f>
        <v>3792.6285655999995</v>
      </c>
      <c r="AT40" s="373">
        <f t="shared" si="80"/>
        <v>6969.5655117343995</v>
      </c>
      <c r="AU40" s="373">
        <f t="shared" si="81"/>
        <v>119196.897776</v>
      </c>
      <c r="AV40" s="377">
        <f t="shared" si="90"/>
        <v>3792.6285655999995</v>
      </c>
      <c r="AW40" s="373">
        <f t="shared" si="82"/>
        <v>6969.5655117343995</v>
      </c>
      <c r="AX40" s="373">
        <f t="shared" si="83"/>
        <v>130032.97939199999</v>
      </c>
      <c r="AY40" s="377">
        <f t="shared" si="91"/>
        <v>3792.6285655999995</v>
      </c>
      <c r="AZ40" s="373">
        <f t="shared" si="57"/>
        <v>6969.5655117343995</v>
      </c>
      <c r="BA40" s="292"/>
      <c r="BC40" s="358"/>
    </row>
    <row r="41" spans="1:55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48"/>
        <v>19984.079999999998</v>
      </c>
      <c r="G41" s="233">
        <v>359</v>
      </c>
      <c r="H41" s="353">
        <f t="shared" si="58"/>
        <v>12667.622547999999</v>
      </c>
      <c r="I41" s="363">
        <v>0.56999999999999995</v>
      </c>
      <c r="J41" s="362">
        <v>9000</v>
      </c>
      <c r="K41" s="361">
        <f t="shared" si="10"/>
        <v>8982.1456140498685</v>
      </c>
      <c r="L41" s="390">
        <v>8800.8512393346664</v>
      </c>
      <c r="M41" s="390">
        <f t="shared" si="49"/>
        <v>-181.29437471520214</v>
      </c>
      <c r="N41" s="390"/>
      <c r="O41" s="390">
        <f t="shared" si="59"/>
        <v>9555.4740574998614</v>
      </c>
      <c r="P41" s="372">
        <f t="shared" si="50"/>
        <v>85.975708816799994</v>
      </c>
      <c r="Q41" s="373">
        <f t="shared" si="60"/>
        <v>12667.622547999999</v>
      </c>
      <c r="R41" s="374">
        <f t="shared" si="51"/>
        <v>2033.5245095999999</v>
      </c>
      <c r="S41" s="373">
        <f t="shared" si="61"/>
        <v>10548.122329583199</v>
      </c>
      <c r="T41" s="373">
        <f t="shared" si="62"/>
        <v>25335.245095999999</v>
      </c>
      <c r="U41" s="374">
        <f>H41*0.2</f>
        <v>2533.5245095999999</v>
      </c>
      <c r="V41" s="373">
        <f t="shared" si="63"/>
        <v>10048.122329583199</v>
      </c>
      <c r="W41" s="373">
        <f t="shared" si="64"/>
        <v>38002.867643999998</v>
      </c>
      <c r="X41" s="376">
        <f t="shared" si="92"/>
        <v>3443.7252446799998</v>
      </c>
      <c r="Y41" s="373">
        <f t="shared" si="65"/>
        <v>9137.9215945031992</v>
      </c>
      <c r="Z41" s="373">
        <f t="shared" si="66"/>
        <v>50670.490191999997</v>
      </c>
      <c r="AA41" s="376">
        <f t="shared" si="89"/>
        <v>3420.25808796</v>
      </c>
      <c r="AB41" s="373">
        <f t="shared" si="67"/>
        <v>9161.3887512231995</v>
      </c>
      <c r="AC41" s="373">
        <f t="shared" si="68"/>
        <v>63338.112739999997</v>
      </c>
      <c r="AD41" s="376">
        <f t="shared" si="54"/>
        <v>3420.25808796</v>
      </c>
      <c r="AE41" s="373">
        <f t="shared" si="69"/>
        <v>9161.3887512231995</v>
      </c>
      <c r="AF41" s="373">
        <f t="shared" si="70"/>
        <v>76005.735287999996</v>
      </c>
      <c r="AG41" s="376">
        <f t="shared" si="93"/>
        <v>3420.25808796</v>
      </c>
      <c r="AH41" s="373">
        <f t="shared" si="72"/>
        <v>9161.3887512231995</v>
      </c>
      <c r="AI41" s="373">
        <f t="shared" si="73"/>
        <v>88673.357835999996</v>
      </c>
      <c r="AJ41" s="376">
        <f>H41*0.27</f>
        <v>3420.25808796</v>
      </c>
      <c r="AK41" s="373">
        <f t="shared" si="74"/>
        <v>9161.3887512231995</v>
      </c>
      <c r="AL41" s="373">
        <f t="shared" si="75"/>
        <v>101340.98038399999</v>
      </c>
      <c r="AM41" s="377">
        <f>(AL41-88000)*0.35+(88000-AI41)*0.27</f>
        <v>4487.5365186799991</v>
      </c>
      <c r="AN41" s="373">
        <f t="shared" si="76"/>
        <v>8094.1103205031995</v>
      </c>
      <c r="AO41" s="373">
        <f t="shared" si="77"/>
        <v>114008.60293199999</v>
      </c>
      <c r="AP41" s="377">
        <f>H41*0.35</f>
        <v>4433.6678917999998</v>
      </c>
      <c r="AQ41" s="373">
        <f t="shared" si="78"/>
        <v>8147.9789473831988</v>
      </c>
      <c r="AR41" s="373">
        <f t="shared" si="79"/>
        <v>126676.22547999999</v>
      </c>
      <c r="AS41" s="377">
        <f>H41*0.35</f>
        <v>4433.6678917999998</v>
      </c>
      <c r="AT41" s="373">
        <f t="shared" si="80"/>
        <v>8147.9789473831988</v>
      </c>
      <c r="AU41" s="373">
        <f t="shared" si="81"/>
        <v>139343.84802799998</v>
      </c>
      <c r="AV41" s="377">
        <f t="shared" si="90"/>
        <v>4433.6678917999998</v>
      </c>
      <c r="AW41" s="373">
        <f t="shared" si="82"/>
        <v>8147.9789473831988</v>
      </c>
      <c r="AX41" s="373">
        <f t="shared" si="83"/>
        <v>152011.47057599999</v>
      </c>
      <c r="AY41" s="377">
        <f t="shared" si="91"/>
        <v>4433.6678917999998</v>
      </c>
      <c r="AZ41" s="373">
        <f t="shared" si="57"/>
        <v>8147.9789473831988</v>
      </c>
      <c r="BA41" s="292"/>
      <c r="BC41" s="358"/>
    </row>
    <row r="42" spans="1:55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48"/>
        <v>19984.079999999998</v>
      </c>
      <c r="G42" s="233">
        <v>359</v>
      </c>
      <c r="H42" s="353">
        <f t="shared" si="58"/>
        <v>11117.857144</v>
      </c>
      <c r="I42" s="363">
        <v>0.46</v>
      </c>
      <c r="J42" s="362">
        <v>8000</v>
      </c>
      <c r="K42" s="361">
        <f t="shared" si="10"/>
        <v>7985.0265531162659</v>
      </c>
      <c r="L42" s="390">
        <v>7803.7321784010674</v>
      </c>
      <c r="M42" s="390">
        <f t="shared" si="49"/>
        <v>-181.2943747151985</v>
      </c>
      <c r="N42" s="390"/>
      <c r="O42" s="390">
        <f t="shared" si="59"/>
        <v>8494.7090990598572</v>
      </c>
      <c r="P42" s="372">
        <f t="shared" si="50"/>
        <v>75.747257150400003</v>
      </c>
      <c r="Q42" s="373">
        <f t="shared" si="60"/>
        <v>11117.857144</v>
      </c>
      <c r="R42" s="374">
        <f t="shared" si="51"/>
        <v>1723.5714287999999</v>
      </c>
      <c r="S42" s="373">
        <f t="shared" si="61"/>
        <v>9318.5384580495993</v>
      </c>
      <c r="T42" s="373">
        <f t="shared" si="62"/>
        <v>22235.714287999999</v>
      </c>
      <c r="U42" s="374">
        <f>H42*0.2</f>
        <v>2223.5714287999999</v>
      </c>
      <c r="V42" s="373">
        <f t="shared" si="63"/>
        <v>8818.5384580495993</v>
      </c>
      <c r="W42" s="373">
        <f t="shared" si="64"/>
        <v>33353.571431999997</v>
      </c>
      <c r="X42" s="376">
        <f t="shared" si="92"/>
        <v>2808.3214290399997</v>
      </c>
      <c r="Y42" s="373">
        <f t="shared" si="65"/>
        <v>8233.7884578096</v>
      </c>
      <c r="Z42" s="373">
        <f t="shared" si="66"/>
        <v>44471.428575999998</v>
      </c>
      <c r="AA42" s="376">
        <f t="shared" si="89"/>
        <v>3001.82142888</v>
      </c>
      <c r="AB42" s="373">
        <f t="shared" si="67"/>
        <v>8040.2884579695992</v>
      </c>
      <c r="AC42" s="373">
        <f t="shared" si="68"/>
        <v>55589.28572</v>
      </c>
      <c r="AD42" s="376">
        <f t="shared" si="54"/>
        <v>3001.82142888</v>
      </c>
      <c r="AE42" s="373">
        <f t="shared" si="69"/>
        <v>8040.2884579695992</v>
      </c>
      <c r="AF42" s="373">
        <f t="shared" si="70"/>
        <v>66707.142863999994</v>
      </c>
      <c r="AG42" s="376">
        <f t="shared" si="93"/>
        <v>3001.82142888</v>
      </c>
      <c r="AH42" s="373">
        <f t="shared" si="72"/>
        <v>8040.2884579695992</v>
      </c>
      <c r="AI42" s="373">
        <f t="shared" si="73"/>
        <v>77825.000008000003</v>
      </c>
      <c r="AJ42" s="376">
        <f t="shared" ref="AJ42:AJ52" si="94">H42*0.27</f>
        <v>3001.82142888</v>
      </c>
      <c r="AK42" s="373">
        <f t="shared" si="74"/>
        <v>8040.2884579695992</v>
      </c>
      <c r="AL42" s="373">
        <f t="shared" si="75"/>
        <v>88942.857151999997</v>
      </c>
      <c r="AM42" s="376">
        <f>H42*0.27</f>
        <v>3001.82142888</v>
      </c>
      <c r="AN42" s="373">
        <f t="shared" si="76"/>
        <v>8040.2884579695992</v>
      </c>
      <c r="AO42" s="373">
        <f t="shared" si="77"/>
        <v>100060.71429599999</v>
      </c>
      <c r="AP42" s="377">
        <f>(AO42-88000)*0.35+(88000-AL42)*0.27</f>
        <v>3966.6785725599975</v>
      </c>
      <c r="AQ42" s="373">
        <f t="shared" si="78"/>
        <v>7075.4313142896017</v>
      </c>
      <c r="AR42" s="373">
        <f t="shared" si="79"/>
        <v>111178.57144</v>
      </c>
      <c r="AS42" s="377">
        <f>H42*0.35</f>
        <v>3891.2500003999994</v>
      </c>
      <c r="AT42" s="373">
        <f t="shared" si="80"/>
        <v>7150.8598864495998</v>
      </c>
      <c r="AU42" s="373">
        <f t="shared" si="81"/>
        <v>122296.42858399999</v>
      </c>
      <c r="AV42" s="377">
        <f t="shared" si="90"/>
        <v>3891.2500003999994</v>
      </c>
      <c r="AW42" s="373">
        <f t="shared" si="82"/>
        <v>7150.8598864495998</v>
      </c>
      <c r="AX42" s="373">
        <f t="shared" si="83"/>
        <v>133414.28572799999</v>
      </c>
      <c r="AY42" s="377">
        <f t="shared" si="91"/>
        <v>3891.2500003999994</v>
      </c>
      <c r="AZ42" s="373">
        <f t="shared" si="57"/>
        <v>7150.8598864495998</v>
      </c>
      <c r="BA42" s="292"/>
      <c r="BC42" s="358"/>
    </row>
    <row r="43" spans="1:55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48"/>
        <v>19984.079999999998</v>
      </c>
      <c r="G43" s="233">
        <v>359</v>
      </c>
      <c r="H43" s="353">
        <f t="shared" si="58"/>
        <v>9568.0917399999998</v>
      </c>
      <c r="I43" s="363">
        <v>0.35</v>
      </c>
      <c r="J43" s="362">
        <v>7000</v>
      </c>
      <c r="K43" s="361">
        <f t="shared" si="10"/>
        <v>6987.907492182665</v>
      </c>
      <c r="L43" s="390">
        <v>6897.2603048250676</v>
      </c>
      <c r="M43" s="390">
        <f t="shared" si="49"/>
        <v>-90.647187357597431</v>
      </c>
      <c r="N43" s="390"/>
      <c r="O43" s="390">
        <f t="shared" si="59"/>
        <v>7433.9441406198566</v>
      </c>
      <c r="P43" s="372">
        <f t="shared" si="50"/>
        <v>65.518805483999998</v>
      </c>
      <c r="Q43" s="373">
        <f t="shared" si="60"/>
        <v>9568.0917399999998</v>
      </c>
      <c r="R43" s="378">
        <f t="shared" ref="R43:R54" si="95">Q43*0.15</f>
        <v>1435.213761</v>
      </c>
      <c r="S43" s="373">
        <f t="shared" si="61"/>
        <v>8067.3591735159998</v>
      </c>
      <c r="T43" s="373">
        <f t="shared" si="62"/>
        <v>19136.18348</v>
      </c>
      <c r="U43" s="374">
        <f t="shared" ref="U43:U51" si="96">(T43-10000)*0.2+(10000-Q43)*0.15</f>
        <v>1892.022935</v>
      </c>
      <c r="V43" s="373">
        <f t="shared" si="63"/>
        <v>7610.5499995159998</v>
      </c>
      <c r="W43" s="373">
        <f t="shared" si="64"/>
        <v>28704.27522</v>
      </c>
      <c r="X43" s="376">
        <f t="shared" si="92"/>
        <v>2172.9176133999999</v>
      </c>
      <c r="Y43" s="373">
        <f t="shared" si="65"/>
        <v>7329.6553211159999</v>
      </c>
      <c r="Z43" s="373">
        <f t="shared" si="66"/>
        <v>38272.366959999999</v>
      </c>
      <c r="AA43" s="376">
        <f t="shared" si="89"/>
        <v>2583.3847698</v>
      </c>
      <c r="AB43" s="373">
        <f t="shared" si="67"/>
        <v>6919.1881647159998</v>
      </c>
      <c r="AC43" s="373">
        <f t="shared" si="68"/>
        <v>47840.458700000003</v>
      </c>
      <c r="AD43" s="376">
        <f t="shared" si="54"/>
        <v>2583.3847698</v>
      </c>
      <c r="AE43" s="373">
        <f t="shared" si="69"/>
        <v>6919.1881647159998</v>
      </c>
      <c r="AF43" s="373">
        <f t="shared" si="70"/>
        <v>57408.550439999999</v>
      </c>
      <c r="AG43" s="376">
        <f t="shared" si="93"/>
        <v>2583.3847698</v>
      </c>
      <c r="AH43" s="373">
        <f t="shared" si="72"/>
        <v>6919.1881647159998</v>
      </c>
      <c r="AI43" s="373">
        <f t="shared" si="73"/>
        <v>66976.642179999995</v>
      </c>
      <c r="AJ43" s="376">
        <f t="shared" si="94"/>
        <v>2583.3847698</v>
      </c>
      <c r="AK43" s="373">
        <f t="shared" si="74"/>
        <v>6919.1881647159998</v>
      </c>
      <c r="AL43" s="373">
        <f t="shared" si="75"/>
        <v>76544.733919999999</v>
      </c>
      <c r="AM43" s="376">
        <f t="shared" ref="AM43:AM54" si="97">H43*0.27</f>
        <v>2583.3847698</v>
      </c>
      <c r="AN43" s="373">
        <f t="shared" si="76"/>
        <v>6919.1881647159998</v>
      </c>
      <c r="AO43" s="373">
        <f t="shared" si="77"/>
        <v>86112.825660000002</v>
      </c>
      <c r="AP43" s="376">
        <f>H43*0.27</f>
        <v>2583.3847698</v>
      </c>
      <c r="AQ43" s="373">
        <f t="shared" si="78"/>
        <v>6919.1881647159998</v>
      </c>
      <c r="AR43" s="373">
        <f t="shared" si="79"/>
        <v>95680.917400000006</v>
      </c>
      <c r="AS43" s="377">
        <f>(AR43-88000)*0.35+(88000-AO43)*0.27</f>
        <v>3197.8581618000012</v>
      </c>
      <c r="AT43" s="373">
        <f t="shared" si="80"/>
        <v>6304.7147727159991</v>
      </c>
      <c r="AU43" s="373">
        <f t="shared" si="81"/>
        <v>105249.00913999999</v>
      </c>
      <c r="AV43" s="377">
        <f t="shared" si="90"/>
        <v>3348.8321089999999</v>
      </c>
      <c r="AW43" s="373">
        <f t="shared" si="82"/>
        <v>6153.7408255159999</v>
      </c>
      <c r="AX43" s="373">
        <f t="shared" si="83"/>
        <v>114817.10088</v>
      </c>
      <c r="AY43" s="377">
        <f t="shared" si="91"/>
        <v>3348.8321089999999</v>
      </c>
      <c r="AZ43" s="373">
        <f t="shared" si="57"/>
        <v>6153.7408255159999</v>
      </c>
      <c r="BA43" s="292"/>
      <c r="BC43" s="358"/>
    </row>
    <row r="44" spans="1:55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48"/>
        <v>19984.079999999998</v>
      </c>
      <c r="G44" s="233">
        <v>359</v>
      </c>
      <c r="H44" s="353">
        <f t="shared" si="58"/>
        <v>9145.4284479999988</v>
      </c>
      <c r="I44" s="363">
        <v>0.32</v>
      </c>
      <c r="J44" s="362">
        <v>6700</v>
      </c>
      <c r="K44" s="361">
        <f t="shared" si="10"/>
        <v>6715.9659301098663</v>
      </c>
      <c r="L44" s="390">
        <v>6625.3187427522671</v>
      </c>
      <c r="M44" s="390">
        <f t="shared" si="49"/>
        <v>-90.64718735759925</v>
      </c>
      <c r="N44" s="390"/>
      <c r="O44" s="390">
        <f t="shared" si="59"/>
        <v>7144.6446064998581</v>
      </c>
      <c r="P44" s="372">
        <f t="shared" si="50"/>
        <v>62.729227756799993</v>
      </c>
      <c r="Q44" s="373">
        <f t="shared" si="60"/>
        <v>9145.4284479999988</v>
      </c>
      <c r="R44" s="378">
        <f t="shared" si="95"/>
        <v>1371.8142671999997</v>
      </c>
      <c r="S44" s="373">
        <f t="shared" si="61"/>
        <v>7710.8849530431999</v>
      </c>
      <c r="T44" s="373">
        <f t="shared" si="62"/>
        <v>18290.856895999998</v>
      </c>
      <c r="U44" s="374">
        <f t="shared" si="96"/>
        <v>1786.3571119999997</v>
      </c>
      <c r="V44" s="373">
        <f t="shared" si="63"/>
        <v>7296.3421082431996</v>
      </c>
      <c r="W44" s="373">
        <f t="shared" si="64"/>
        <v>27436.285343999996</v>
      </c>
      <c r="X44" s="376">
        <f t="shared" si="92"/>
        <v>1999.6256636799997</v>
      </c>
      <c r="Y44" s="373">
        <f t="shared" si="65"/>
        <v>7083.0735565631994</v>
      </c>
      <c r="Z44" s="373">
        <f t="shared" si="66"/>
        <v>36581.713791999995</v>
      </c>
      <c r="AA44" s="376">
        <f t="shared" si="89"/>
        <v>2469.2656809599998</v>
      </c>
      <c r="AB44" s="373">
        <f t="shared" si="67"/>
        <v>6613.4335392831999</v>
      </c>
      <c r="AC44" s="373">
        <f t="shared" si="68"/>
        <v>45727.142239999994</v>
      </c>
      <c r="AD44" s="376">
        <f t="shared" si="54"/>
        <v>2469.2656809599998</v>
      </c>
      <c r="AE44" s="373">
        <f t="shared" si="69"/>
        <v>6613.4335392831999</v>
      </c>
      <c r="AF44" s="373">
        <f t="shared" si="70"/>
        <v>54872.570687999993</v>
      </c>
      <c r="AG44" s="376">
        <f t="shared" si="93"/>
        <v>2469.2656809599998</v>
      </c>
      <c r="AH44" s="373">
        <f t="shared" si="72"/>
        <v>6613.4335392831999</v>
      </c>
      <c r="AI44" s="373">
        <f t="shared" si="73"/>
        <v>64017.999135999991</v>
      </c>
      <c r="AJ44" s="376">
        <f t="shared" si="94"/>
        <v>2469.2656809599998</v>
      </c>
      <c r="AK44" s="373">
        <f t="shared" si="74"/>
        <v>6613.4335392831999</v>
      </c>
      <c r="AL44" s="373">
        <f t="shared" si="75"/>
        <v>73163.42758399999</v>
      </c>
      <c r="AM44" s="376">
        <f t="shared" si="97"/>
        <v>2469.2656809599998</v>
      </c>
      <c r="AN44" s="373">
        <f t="shared" si="76"/>
        <v>6613.4335392831999</v>
      </c>
      <c r="AO44" s="373">
        <f t="shared" si="77"/>
        <v>82308.856031999981</v>
      </c>
      <c r="AP44" s="376">
        <f>H44*0.27</f>
        <v>2469.2656809599998</v>
      </c>
      <c r="AQ44" s="373">
        <f t="shared" si="78"/>
        <v>6613.4335392831999</v>
      </c>
      <c r="AR44" s="373">
        <f t="shared" si="79"/>
        <v>91454.284479999988</v>
      </c>
      <c r="AS44" s="377">
        <f>(AR44-88000)*0.35+(88000-AO44)*0.27</f>
        <v>2745.6084393600008</v>
      </c>
      <c r="AT44" s="373">
        <f t="shared" si="80"/>
        <v>6337.090780883198</v>
      </c>
      <c r="AU44" s="373">
        <f t="shared" si="81"/>
        <v>100599.71292799999</v>
      </c>
      <c r="AV44" s="377">
        <f t="shared" si="90"/>
        <v>3200.8999567999995</v>
      </c>
      <c r="AW44" s="373">
        <f t="shared" si="82"/>
        <v>5881.7992634431994</v>
      </c>
      <c r="AX44" s="373">
        <f t="shared" si="83"/>
        <v>109745.14137599999</v>
      </c>
      <c r="AY44" s="377">
        <f t="shared" si="91"/>
        <v>3200.8999567999995</v>
      </c>
      <c r="AZ44" s="373">
        <f t="shared" si="57"/>
        <v>5881.7992634431994</v>
      </c>
      <c r="BA44" s="292"/>
      <c r="BC44" s="358"/>
    </row>
    <row r="45" spans="1:55" ht="28.5" x14ac:dyDescent="0.45">
      <c r="A45" s="716"/>
      <c r="B45" s="547" t="s">
        <v>226</v>
      </c>
      <c r="C45" s="231">
        <v>200</v>
      </c>
      <c r="D45" s="234">
        <v>4996.0199999999995</v>
      </c>
      <c r="E45" s="234">
        <v>6661.36</v>
      </c>
      <c r="F45" s="234">
        <f t="shared" si="48"/>
        <v>11657.38</v>
      </c>
      <c r="G45" s="233">
        <v>359</v>
      </c>
      <c r="H45" s="353">
        <f t="shared" si="58"/>
        <v>9270.6620159999984</v>
      </c>
      <c r="I45" s="363">
        <v>0.74</v>
      </c>
      <c r="J45" s="362">
        <v>6800</v>
      </c>
      <c r="K45" s="361">
        <f t="shared" si="10"/>
        <v>6796.5412077610645</v>
      </c>
      <c r="L45" s="390">
        <v>6756.2535689354663</v>
      </c>
      <c r="M45" s="390">
        <f t="shared" si="49"/>
        <v>-40.287638825598151</v>
      </c>
      <c r="N45" s="390"/>
      <c r="O45" s="390">
        <f t="shared" si="59"/>
        <v>7230.362986979856</v>
      </c>
      <c r="P45" s="372">
        <f t="shared" si="50"/>
        <v>63.555769305599988</v>
      </c>
      <c r="Q45" s="373">
        <f t="shared" si="60"/>
        <v>9270.6620159999984</v>
      </c>
      <c r="R45" s="378">
        <f t="shared" si="95"/>
        <v>1390.5993023999997</v>
      </c>
      <c r="S45" s="373">
        <f t="shared" si="61"/>
        <v>7816.5069442943986</v>
      </c>
      <c r="T45" s="373">
        <f t="shared" si="62"/>
        <v>18541.324031999997</v>
      </c>
      <c r="U45" s="374">
        <f t="shared" si="96"/>
        <v>1817.6655039999998</v>
      </c>
      <c r="V45" s="373">
        <f t="shared" si="63"/>
        <v>7389.440742694399</v>
      </c>
      <c r="W45" s="373">
        <f t="shared" si="64"/>
        <v>27811.986047999995</v>
      </c>
      <c r="X45" s="376">
        <f t="shared" si="92"/>
        <v>2050.9714265599996</v>
      </c>
      <c r="Y45" s="373">
        <f t="shared" si="65"/>
        <v>7156.134820134399</v>
      </c>
      <c r="Z45" s="373">
        <f t="shared" si="66"/>
        <v>37082.648063999994</v>
      </c>
      <c r="AA45" s="376">
        <f t="shared" si="89"/>
        <v>2503.0787443199997</v>
      </c>
      <c r="AB45" s="373">
        <f t="shared" si="67"/>
        <v>6704.0275023743989</v>
      </c>
      <c r="AC45" s="373">
        <f t="shared" si="68"/>
        <v>46353.310079999996</v>
      </c>
      <c r="AD45" s="376">
        <f t="shared" si="54"/>
        <v>2503.0787443199997</v>
      </c>
      <c r="AE45" s="373">
        <f t="shared" si="69"/>
        <v>6704.0275023743989</v>
      </c>
      <c r="AF45" s="373">
        <f t="shared" si="70"/>
        <v>55623.97209599999</v>
      </c>
      <c r="AG45" s="376">
        <f t="shared" si="93"/>
        <v>2503.0787443199997</v>
      </c>
      <c r="AH45" s="373">
        <f t="shared" si="72"/>
        <v>6704.0275023743989</v>
      </c>
      <c r="AI45" s="373">
        <f t="shared" si="73"/>
        <v>64894.634111999985</v>
      </c>
      <c r="AJ45" s="376">
        <f t="shared" si="94"/>
        <v>2503.0787443199997</v>
      </c>
      <c r="AK45" s="373">
        <f t="shared" si="74"/>
        <v>6704.0275023743989</v>
      </c>
      <c r="AL45" s="373">
        <f t="shared" si="75"/>
        <v>74165.296127999987</v>
      </c>
      <c r="AM45" s="376">
        <f t="shared" si="97"/>
        <v>2503.0787443199997</v>
      </c>
      <c r="AN45" s="373">
        <f t="shared" si="76"/>
        <v>6704.0275023743989</v>
      </c>
      <c r="AO45" s="373">
        <f t="shared" si="77"/>
        <v>83435.958143999989</v>
      </c>
      <c r="AP45" s="376">
        <f>H45*0.27</f>
        <v>2503.0787443199997</v>
      </c>
      <c r="AQ45" s="373">
        <f t="shared" si="78"/>
        <v>6704.0275023743989</v>
      </c>
      <c r="AR45" s="373">
        <f t="shared" si="79"/>
        <v>92706.620159999991</v>
      </c>
      <c r="AS45" s="377">
        <f>(AR45-88000)*0.35+(88000-AO45)*0.27</f>
        <v>2879.6083571199997</v>
      </c>
      <c r="AT45" s="373">
        <f t="shared" si="80"/>
        <v>6327.4978895743989</v>
      </c>
      <c r="AU45" s="373">
        <f t="shared" si="81"/>
        <v>101977.28217599998</v>
      </c>
      <c r="AV45" s="377">
        <f t="shared" si="90"/>
        <v>3244.7317055999993</v>
      </c>
      <c r="AW45" s="373">
        <f t="shared" si="82"/>
        <v>5962.3745410943993</v>
      </c>
      <c r="AX45" s="373">
        <f t="shared" si="83"/>
        <v>111247.94419199998</v>
      </c>
      <c r="AY45" s="377">
        <f t="shared" si="91"/>
        <v>3244.7317055999993</v>
      </c>
      <c r="AZ45" s="373">
        <f t="shared" si="57"/>
        <v>5962.3745410943993</v>
      </c>
      <c r="BA45" s="292"/>
      <c r="BC45" s="358"/>
    </row>
    <row r="46" spans="1:55" ht="28.5" x14ac:dyDescent="0.45">
      <c r="A46" s="716"/>
      <c r="B46" s="547" t="s">
        <v>227</v>
      </c>
      <c r="C46" s="231">
        <v>200</v>
      </c>
      <c r="D46" s="234">
        <v>4996.0199999999995</v>
      </c>
      <c r="E46" s="234">
        <v>6661.36</v>
      </c>
      <c r="F46" s="234">
        <f t="shared" si="48"/>
        <v>11657.38</v>
      </c>
      <c r="G46" s="233">
        <v>359</v>
      </c>
      <c r="H46" s="353">
        <f t="shared" si="58"/>
        <v>8080.9431199999999</v>
      </c>
      <c r="I46" s="363">
        <v>0.55000000000000004</v>
      </c>
      <c r="J46" s="362">
        <v>6000</v>
      </c>
      <c r="K46" s="361">
        <f t="shared" si="10"/>
        <v>6025.1402412746656</v>
      </c>
      <c r="L46" s="390">
        <v>6025.1402412746656</v>
      </c>
      <c r="M46" s="390">
        <f t="shared" si="49"/>
        <v>0</v>
      </c>
      <c r="N46" s="390"/>
      <c r="O46" s="390">
        <f t="shared" si="59"/>
        <v>6409.7236609304955</v>
      </c>
      <c r="P46" s="372">
        <f t="shared" si="50"/>
        <v>55.703624591999997</v>
      </c>
      <c r="Q46" s="373">
        <f t="shared" si="60"/>
        <v>8080.9431199999999</v>
      </c>
      <c r="R46" s="378">
        <f t="shared" si="95"/>
        <v>1212.141468</v>
      </c>
      <c r="S46" s="373">
        <f t="shared" si="61"/>
        <v>6813.0980274080002</v>
      </c>
      <c r="T46" s="373">
        <f t="shared" si="62"/>
        <v>16161.88624</v>
      </c>
      <c r="U46" s="374">
        <f t="shared" si="96"/>
        <v>1520.23578</v>
      </c>
      <c r="V46" s="373">
        <f t="shared" si="63"/>
        <v>6505.0037154080001</v>
      </c>
      <c r="W46" s="373">
        <f t="shared" si="64"/>
        <v>24242.82936</v>
      </c>
      <c r="X46" s="374">
        <f>H46*0.2</f>
        <v>1616.1886240000001</v>
      </c>
      <c r="Y46" s="373">
        <f t="shared" si="65"/>
        <v>6409.0508714079997</v>
      </c>
      <c r="Z46" s="373">
        <f t="shared" si="66"/>
        <v>32323.77248</v>
      </c>
      <c r="AA46" s="376">
        <f>(Z46-25000)*0.27+(25000-W46)*0.2</f>
        <v>2128.8526975999998</v>
      </c>
      <c r="AB46" s="373">
        <f t="shared" si="67"/>
        <v>5896.3867978079998</v>
      </c>
      <c r="AC46" s="373">
        <f t="shared" si="68"/>
        <v>40404.715599999996</v>
      </c>
      <c r="AD46" s="376">
        <f t="shared" si="54"/>
        <v>2181.8546424000001</v>
      </c>
      <c r="AE46" s="373">
        <f t="shared" si="69"/>
        <v>5843.3848530079995</v>
      </c>
      <c r="AF46" s="373">
        <f t="shared" si="70"/>
        <v>48485.658719999999</v>
      </c>
      <c r="AG46" s="376">
        <f t="shared" si="93"/>
        <v>2181.8546424000001</v>
      </c>
      <c r="AH46" s="373">
        <f t="shared" si="72"/>
        <v>5843.3848530079995</v>
      </c>
      <c r="AI46" s="373">
        <f t="shared" si="73"/>
        <v>56566.601840000003</v>
      </c>
      <c r="AJ46" s="376">
        <f t="shared" si="94"/>
        <v>2181.8546424000001</v>
      </c>
      <c r="AK46" s="373">
        <f t="shared" si="74"/>
        <v>5843.3848530079995</v>
      </c>
      <c r="AL46" s="373">
        <f t="shared" si="75"/>
        <v>64647.544959999999</v>
      </c>
      <c r="AM46" s="376">
        <f t="shared" si="97"/>
        <v>2181.8546424000001</v>
      </c>
      <c r="AN46" s="373">
        <f t="shared" si="76"/>
        <v>5843.3848530079995</v>
      </c>
      <c r="AO46" s="373">
        <f t="shared" si="77"/>
        <v>72728.488079999996</v>
      </c>
      <c r="AP46" s="376">
        <f>H46*0.27</f>
        <v>2181.8546424000001</v>
      </c>
      <c r="AQ46" s="373">
        <f t="shared" si="78"/>
        <v>5843.3848530079995</v>
      </c>
      <c r="AR46" s="373">
        <f t="shared" si="79"/>
        <v>80809.431199999992</v>
      </c>
      <c r="AS46" s="376">
        <f>H46*0.27</f>
        <v>2181.8546424000001</v>
      </c>
      <c r="AT46" s="373">
        <f t="shared" si="80"/>
        <v>5843.3848530079995</v>
      </c>
      <c r="AU46" s="373">
        <f t="shared" si="81"/>
        <v>88890.374320000003</v>
      </c>
      <c r="AV46" s="377">
        <f>(AU46-88000)*0.35+(88000-AR46)*0.27</f>
        <v>2253.0845880000034</v>
      </c>
      <c r="AW46" s="373">
        <f t="shared" si="82"/>
        <v>5772.1549074079967</v>
      </c>
      <c r="AX46" s="373">
        <f t="shared" si="83"/>
        <v>96971.317439999999</v>
      </c>
      <c r="AY46" s="377">
        <f>(AX46-88000)*0.35+(88000-AU46)*0.27</f>
        <v>2899.5600375999989</v>
      </c>
      <c r="AZ46" s="373">
        <f t="shared" si="57"/>
        <v>5125.6794578080007</v>
      </c>
      <c r="BA46" s="292"/>
      <c r="BC46" s="358"/>
    </row>
    <row r="47" spans="1:55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48"/>
        <v>13988.856</v>
      </c>
      <c r="G47" s="233">
        <v>359</v>
      </c>
      <c r="H47" s="353">
        <f t="shared" si="58"/>
        <v>10047.110137599999</v>
      </c>
      <c r="I47" s="363">
        <v>0.64</v>
      </c>
      <c r="J47" s="362">
        <v>7351</v>
      </c>
      <c r="K47" s="361">
        <f t="shared" si="10"/>
        <v>7296.107929198507</v>
      </c>
      <c r="L47" s="390">
        <v>7187.3313043693861</v>
      </c>
      <c r="M47" s="390">
        <f t="shared" si="49"/>
        <v>-108.77662482912092</v>
      </c>
      <c r="N47" s="390"/>
      <c r="O47" s="390">
        <f t="shared" si="59"/>
        <v>7761.8169459558594</v>
      </c>
      <c r="P47" s="372">
        <f t="shared" si="50"/>
        <v>68.680326908159998</v>
      </c>
      <c r="Q47" s="373">
        <f t="shared" si="60"/>
        <v>10047.110137599999</v>
      </c>
      <c r="R47" s="378">
        <f t="shared" si="95"/>
        <v>1507.0665206399997</v>
      </c>
      <c r="S47" s="373">
        <f t="shared" si="61"/>
        <v>8471.3632900518405</v>
      </c>
      <c r="T47" s="373">
        <f t="shared" si="62"/>
        <v>20094.220275199998</v>
      </c>
      <c r="U47" s="374">
        <f t="shared" si="96"/>
        <v>2011.7775343999997</v>
      </c>
      <c r="V47" s="373">
        <f t="shared" si="63"/>
        <v>7966.6522762918394</v>
      </c>
      <c r="W47" s="373">
        <f t="shared" si="64"/>
        <v>30141.330412799995</v>
      </c>
      <c r="X47" s="376">
        <f>(W47-25000)*0.27+(25000-T47)*0.2</f>
        <v>2369.3151564159989</v>
      </c>
      <c r="Y47" s="373">
        <f t="shared" si="65"/>
        <v>7609.1146542758406</v>
      </c>
      <c r="Z47" s="373">
        <f t="shared" si="66"/>
        <v>40188.440550399995</v>
      </c>
      <c r="AA47" s="376">
        <f>H47*0.27</f>
        <v>2712.7197371519997</v>
      </c>
      <c r="AB47" s="373">
        <f t="shared" si="67"/>
        <v>7265.7100735398399</v>
      </c>
      <c r="AC47" s="373">
        <f t="shared" si="68"/>
        <v>50235.550687999996</v>
      </c>
      <c r="AD47" s="376">
        <f t="shared" si="54"/>
        <v>2712.7197371519997</v>
      </c>
      <c r="AE47" s="373">
        <f t="shared" si="69"/>
        <v>7265.7100735398399</v>
      </c>
      <c r="AF47" s="373">
        <f t="shared" si="70"/>
        <v>60282.660825599989</v>
      </c>
      <c r="AG47" s="376">
        <f t="shared" si="93"/>
        <v>2712.7197371519997</v>
      </c>
      <c r="AH47" s="373">
        <f t="shared" si="72"/>
        <v>7265.7100735398399</v>
      </c>
      <c r="AI47" s="373">
        <f t="shared" si="73"/>
        <v>70329.77096319999</v>
      </c>
      <c r="AJ47" s="376">
        <f t="shared" si="94"/>
        <v>2712.7197371519997</v>
      </c>
      <c r="AK47" s="373">
        <f t="shared" si="74"/>
        <v>7265.7100735398399</v>
      </c>
      <c r="AL47" s="373">
        <f t="shared" si="75"/>
        <v>80376.88110079999</v>
      </c>
      <c r="AM47" s="376">
        <f t="shared" si="97"/>
        <v>2712.7197371519997</v>
      </c>
      <c r="AN47" s="373">
        <f t="shared" si="76"/>
        <v>7265.7100735398399</v>
      </c>
      <c r="AO47" s="373">
        <f t="shared" si="77"/>
        <v>90423.991238399991</v>
      </c>
      <c r="AP47" s="377">
        <f>(AO47-88000)*0.35+(88000-AL47)*0.27</f>
        <v>2906.6390362239995</v>
      </c>
      <c r="AQ47" s="373">
        <f t="shared" si="78"/>
        <v>7071.7907744678396</v>
      </c>
      <c r="AR47" s="373">
        <f t="shared" si="79"/>
        <v>100471.10137599999</v>
      </c>
      <c r="AS47" s="377">
        <f>H47*0.35</f>
        <v>3516.4885481599995</v>
      </c>
      <c r="AT47" s="373">
        <f t="shared" si="80"/>
        <v>6461.94126253184</v>
      </c>
      <c r="AU47" s="373">
        <f t="shared" si="81"/>
        <v>110518.21151359999</v>
      </c>
      <c r="AV47" s="377">
        <f>H47*0.35</f>
        <v>3516.4885481599995</v>
      </c>
      <c r="AW47" s="373">
        <f t="shared" si="82"/>
        <v>6461.94126253184</v>
      </c>
      <c r="AX47" s="373">
        <f t="shared" si="83"/>
        <v>120565.32165119998</v>
      </c>
      <c r="AY47" s="377">
        <f>H47*0.35</f>
        <v>3516.4885481599995</v>
      </c>
      <c r="AZ47" s="373">
        <f t="shared" si="57"/>
        <v>6461.94126253184</v>
      </c>
      <c r="BA47" s="292"/>
      <c r="BC47" s="358"/>
    </row>
    <row r="48" spans="1:55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48"/>
        <v>13988.856</v>
      </c>
      <c r="G48" s="233">
        <v>359</v>
      </c>
      <c r="H48" s="353">
        <f t="shared" si="58"/>
        <v>8018.3263359999983</v>
      </c>
      <c r="I48" s="463">
        <v>0.4</v>
      </c>
      <c r="J48" s="362">
        <v>6000</v>
      </c>
      <c r="K48" s="361">
        <f t="shared" si="10"/>
        <v>5990.7884312490669</v>
      </c>
      <c r="L48" s="390">
        <v>5990.7884312490669</v>
      </c>
      <c r="M48" s="390">
        <f t="shared" si="49"/>
        <v>0</v>
      </c>
      <c r="N48" s="390"/>
      <c r="O48" s="390">
        <f t="shared" si="59"/>
        <v>6373.1791821798588</v>
      </c>
      <c r="P48" s="372">
        <f t="shared" si="50"/>
        <v>55.290353817599986</v>
      </c>
      <c r="Q48" s="373">
        <f t="shared" si="60"/>
        <v>8018.3263359999983</v>
      </c>
      <c r="R48" s="378">
        <f t="shared" si="95"/>
        <v>1202.7489503999998</v>
      </c>
      <c r="S48" s="373">
        <f t="shared" si="61"/>
        <v>6760.287031782399</v>
      </c>
      <c r="T48" s="373">
        <f t="shared" si="62"/>
        <v>16036.652671999997</v>
      </c>
      <c r="U48" s="374">
        <f t="shared" si="96"/>
        <v>1504.5815839999996</v>
      </c>
      <c r="V48" s="373">
        <f t="shared" si="63"/>
        <v>6458.454398182399</v>
      </c>
      <c r="W48" s="373">
        <f t="shared" si="64"/>
        <v>24054.979007999995</v>
      </c>
      <c r="X48" s="374">
        <f>H48*0.2</f>
        <v>1603.6652671999998</v>
      </c>
      <c r="Y48" s="373">
        <f t="shared" si="65"/>
        <v>6359.3707149823986</v>
      </c>
      <c r="Z48" s="373">
        <f t="shared" si="66"/>
        <v>32073.305343999993</v>
      </c>
      <c r="AA48" s="376">
        <f>(Z48-25000)*0.27+(25000-W48)*0.2</f>
        <v>2098.7966412799992</v>
      </c>
      <c r="AB48" s="373">
        <f t="shared" si="67"/>
        <v>5864.2393409023989</v>
      </c>
      <c r="AC48" s="373">
        <f t="shared" si="68"/>
        <v>40091.631679999991</v>
      </c>
      <c r="AD48" s="376">
        <f t="shared" si="54"/>
        <v>2164.9481107199995</v>
      </c>
      <c r="AE48" s="373">
        <f t="shared" si="69"/>
        <v>5798.0878714623996</v>
      </c>
      <c r="AF48" s="373">
        <f t="shared" si="70"/>
        <v>48109.95801599999</v>
      </c>
      <c r="AG48" s="376">
        <f t="shared" si="93"/>
        <v>2164.9481107199995</v>
      </c>
      <c r="AH48" s="373">
        <f t="shared" si="72"/>
        <v>5798.0878714623996</v>
      </c>
      <c r="AI48" s="373">
        <f t="shared" si="73"/>
        <v>56128.284351999988</v>
      </c>
      <c r="AJ48" s="376">
        <f t="shared" si="94"/>
        <v>2164.9481107199995</v>
      </c>
      <c r="AK48" s="373">
        <f t="shared" si="74"/>
        <v>5798.0878714623996</v>
      </c>
      <c r="AL48" s="373">
        <f t="shared" si="75"/>
        <v>64146.610687999986</v>
      </c>
      <c r="AM48" s="376">
        <f t="shared" si="97"/>
        <v>2164.9481107199995</v>
      </c>
      <c r="AN48" s="373">
        <f t="shared" si="76"/>
        <v>5798.0878714623996</v>
      </c>
      <c r="AO48" s="373">
        <f t="shared" si="77"/>
        <v>72164.937023999984</v>
      </c>
      <c r="AP48" s="376">
        <f t="shared" ref="AP48:AP54" si="98">H48*0.27</f>
        <v>2164.9481107199995</v>
      </c>
      <c r="AQ48" s="373">
        <f t="shared" si="78"/>
        <v>5798.0878714623996</v>
      </c>
      <c r="AR48" s="373">
        <f t="shared" si="79"/>
        <v>80183.263359999983</v>
      </c>
      <c r="AS48" s="376">
        <f>H48*0.27</f>
        <v>2164.9481107199995</v>
      </c>
      <c r="AT48" s="373">
        <f t="shared" si="80"/>
        <v>5798.0878714623996</v>
      </c>
      <c r="AU48" s="373">
        <f t="shared" si="81"/>
        <v>88201.589695999981</v>
      </c>
      <c r="AV48" s="377">
        <f>(AU48-88000)*0.35+(88000-AR48)*0.27</f>
        <v>2181.0752863999983</v>
      </c>
      <c r="AW48" s="373">
        <f t="shared" si="82"/>
        <v>5781.9606957823999</v>
      </c>
      <c r="AX48" s="373">
        <f t="shared" si="83"/>
        <v>96219.916031999979</v>
      </c>
      <c r="AY48" s="377">
        <f>H48*0.35</f>
        <v>2806.4142175999991</v>
      </c>
      <c r="AZ48" s="373">
        <f t="shared" si="57"/>
        <v>5156.6217645823999</v>
      </c>
      <c r="BA48" s="292"/>
      <c r="BC48" s="358"/>
    </row>
    <row r="49" spans="1:55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48"/>
        <v>10991.243999999999</v>
      </c>
      <c r="G49" s="233">
        <v>359</v>
      </c>
      <c r="H49" s="353">
        <f t="shared" si="58"/>
        <v>8187.3916527999991</v>
      </c>
      <c r="I49" s="363">
        <v>0.63</v>
      </c>
      <c r="J49" s="362">
        <v>6100</v>
      </c>
      <c r="K49" s="361">
        <f t="shared" si="10"/>
        <v>6099.565056078186</v>
      </c>
      <c r="L49" s="390">
        <v>6063.3061811351463</v>
      </c>
      <c r="M49" s="390">
        <f t="shared" si="49"/>
        <v>-36.2588749430397</v>
      </c>
      <c r="N49" s="390"/>
      <c r="O49" s="390">
        <f t="shared" si="59"/>
        <v>6488.898995827858</v>
      </c>
      <c r="P49" s="372">
        <f t="shared" si="50"/>
        <v>56.406184908479993</v>
      </c>
      <c r="Q49" s="373">
        <f t="shared" si="60"/>
        <v>8187.3916527999991</v>
      </c>
      <c r="R49" s="378">
        <f t="shared" si="95"/>
        <v>1228.1087479199998</v>
      </c>
      <c r="S49" s="373">
        <f t="shared" si="61"/>
        <v>6902.8767199715194</v>
      </c>
      <c r="T49" s="373">
        <f t="shared" si="62"/>
        <v>16374.783305599998</v>
      </c>
      <c r="U49" s="374">
        <f t="shared" si="96"/>
        <v>1546.8479132</v>
      </c>
      <c r="V49" s="373">
        <f t="shared" si="63"/>
        <v>6584.1375546915187</v>
      </c>
      <c r="W49" s="373">
        <f t="shared" si="64"/>
        <v>24562.174958399999</v>
      </c>
      <c r="X49" s="374">
        <f>H49*0.2</f>
        <v>1637.4783305599999</v>
      </c>
      <c r="Y49" s="373">
        <f t="shared" si="65"/>
        <v>6493.5071373315186</v>
      </c>
      <c r="Z49" s="373">
        <f t="shared" si="66"/>
        <v>32749.566611199996</v>
      </c>
      <c r="AA49" s="376">
        <f>(Z49-25000)*0.27+(25000-W49)*0.2</f>
        <v>2179.9479933439993</v>
      </c>
      <c r="AB49" s="373">
        <f t="shared" si="67"/>
        <v>5951.0374745475201</v>
      </c>
      <c r="AC49" s="373">
        <f t="shared" si="68"/>
        <v>40936.958263999994</v>
      </c>
      <c r="AD49" s="376">
        <f t="shared" si="54"/>
        <v>2210.595746256</v>
      </c>
      <c r="AE49" s="373">
        <f t="shared" si="69"/>
        <v>5920.389721635519</v>
      </c>
      <c r="AF49" s="373">
        <f t="shared" si="70"/>
        <v>49124.349916799998</v>
      </c>
      <c r="AG49" s="376">
        <f t="shared" si="93"/>
        <v>2210.595746256</v>
      </c>
      <c r="AH49" s="373">
        <f t="shared" si="72"/>
        <v>5920.389721635519</v>
      </c>
      <c r="AI49" s="373">
        <f t="shared" si="73"/>
        <v>57311.741569599995</v>
      </c>
      <c r="AJ49" s="376">
        <f t="shared" si="94"/>
        <v>2210.595746256</v>
      </c>
      <c r="AK49" s="373">
        <f t="shared" si="74"/>
        <v>5920.389721635519</v>
      </c>
      <c r="AL49" s="373">
        <f t="shared" si="75"/>
        <v>65499.133222399993</v>
      </c>
      <c r="AM49" s="376">
        <f t="shared" si="97"/>
        <v>2210.595746256</v>
      </c>
      <c r="AN49" s="373">
        <f t="shared" si="76"/>
        <v>5920.389721635519</v>
      </c>
      <c r="AO49" s="373">
        <f t="shared" si="77"/>
        <v>73686.52487519999</v>
      </c>
      <c r="AP49" s="376">
        <f t="shared" si="98"/>
        <v>2210.595746256</v>
      </c>
      <c r="AQ49" s="373">
        <f t="shared" si="78"/>
        <v>5920.389721635519</v>
      </c>
      <c r="AR49" s="373">
        <f t="shared" si="79"/>
        <v>81873.916527999987</v>
      </c>
      <c r="AS49" s="376">
        <f>H49*0.27</f>
        <v>2210.595746256</v>
      </c>
      <c r="AT49" s="373">
        <f t="shared" si="80"/>
        <v>5920.389721635519</v>
      </c>
      <c r="AU49" s="373">
        <f t="shared" si="81"/>
        <v>90061.308180799984</v>
      </c>
      <c r="AV49" s="377">
        <f>(AU49-88000)*0.35+(88000-AR49)*0.27</f>
        <v>2375.5004007199977</v>
      </c>
      <c r="AW49" s="373">
        <f t="shared" si="82"/>
        <v>5755.4850671715212</v>
      </c>
      <c r="AX49" s="373">
        <f t="shared" si="83"/>
        <v>98248.699833599996</v>
      </c>
      <c r="AY49" s="377">
        <f>H49*0.35</f>
        <v>2865.5870784799995</v>
      </c>
      <c r="AZ49" s="373">
        <f t="shared" si="57"/>
        <v>5265.398389411519</v>
      </c>
      <c r="BA49" s="292"/>
      <c r="BC49" s="358"/>
    </row>
    <row r="50" spans="1:55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48"/>
        <v>10991.243999999999</v>
      </c>
      <c r="G50" s="233">
        <v>359</v>
      </c>
      <c r="H50" s="353">
        <f t="shared" si="58"/>
        <v>7116.6446464000001</v>
      </c>
      <c r="I50" s="363">
        <v>0.44</v>
      </c>
      <c r="J50" s="362">
        <v>5400</v>
      </c>
      <c r="K50" s="361">
        <f t="shared" si="10"/>
        <v>5393.3113372057587</v>
      </c>
      <c r="L50" s="390">
        <v>5393.3113372057587</v>
      </c>
      <c r="M50" s="390">
        <f t="shared" si="49"/>
        <v>0</v>
      </c>
      <c r="N50" s="390"/>
      <c r="O50" s="390">
        <f t="shared" si="59"/>
        <v>5737.5652523465524</v>
      </c>
      <c r="P50" s="372">
        <f t="shared" si="50"/>
        <v>49.339254666240002</v>
      </c>
      <c r="Q50" s="373">
        <f t="shared" si="60"/>
        <v>7116.6446464000001</v>
      </c>
      <c r="R50" s="378">
        <f t="shared" si="95"/>
        <v>1067.49669696</v>
      </c>
      <c r="S50" s="373">
        <f t="shared" si="61"/>
        <v>5999.8086947737602</v>
      </c>
      <c r="T50" s="373">
        <f t="shared" si="62"/>
        <v>14233.2892928</v>
      </c>
      <c r="U50" s="374">
        <f t="shared" si="96"/>
        <v>1279.1611616</v>
      </c>
      <c r="V50" s="373">
        <f t="shared" si="63"/>
        <v>5788.1442301337602</v>
      </c>
      <c r="W50" s="373">
        <f t="shared" si="64"/>
        <v>21349.9339392</v>
      </c>
      <c r="X50" s="374">
        <f>H50*0.2</f>
        <v>1423.32892928</v>
      </c>
      <c r="Y50" s="373">
        <f t="shared" si="65"/>
        <v>5643.9764624537602</v>
      </c>
      <c r="Z50" s="373">
        <f t="shared" si="66"/>
        <v>28466.5785856</v>
      </c>
      <c r="AA50" s="376">
        <f>(Z50-25000)*0.27+(25000-W50)*0.2</f>
        <v>1665.9894302719999</v>
      </c>
      <c r="AB50" s="373">
        <f t="shared" si="67"/>
        <v>5401.3159614617598</v>
      </c>
      <c r="AC50" s="373">
        <f t="shared" si="68"/>
        <v>35583.223232000004</v>
      </c>
      <c r="AD50" s="376">
        <f t="shared" si="54"/>
        <v>1921.4940545280001</v>
      </c>
      <c r="AE50" s="373">
        <f t="shared" si="69"/>
        <v>5145.8113372057596</v>
      </c>
      <c r="AF50" s="373">
        <f t="shared" si="70"/>
        <v>42699.8678784</v>
      </c>
      <c r="AG50" s="376">
        <f t="shared" si="93"/>
        <v>1921.4940545280001</v>
      </c>
      <c r="AH50" s="373">
        <f t="shared" si="72"/>
        <v>5145.8113372057596</v>
      </c>
      <c r="AI50" s="373">
        <f t="shared" si="73"/>
        <v>49816.512524799997</v>
      </c>
      <c r="AJ50" s="376">
        <f t="shared" si="94"/>
        <v>1921.4940545280001</v>
      </c>
      <c r="AK50" s="373">
        <f t="shared" si="74"/>
        <v>5145.8113372057596</v>
      </c>
      <c r="AL50" s="373">
        <f t="shared" si="75"/>
        <v>56933.1571712</v>
      </c>
      <c r="AM50" s="376">
        <f t="shared" si="97"/>
        <v>1921.4940545280001</v>
      </c>
      <c r="AN50" s="373">
        <f t="shared" si="76"/>
        <v>5145.8113372057596</v>
      </c>
      <c r="AO50" s="373">
        <f t="shared" si="77"/>
        <v>64049.801817600004</v>
      </c>
      <c r="AP50" s="376">
        <f t="shared" si="98"/>
        <v>1921.4940545280001</v>
      </c>
      <c r="AQ50" s="373">
        <f t="shared" si="78"/>
        <v>5145.8113372057596</v>
      </c>
      <c r="AR50" s="373">
        <f t="shared" si="79"/>
        <v>71166.446464000008</v>
      </c>
      <c r="AS50" s="376">
        <f>H50*0.27</f>
        <v>1921.4940545280001</v>
      </c>
      <c r="AT50" s="373">
        <f t="shared" si="80"/>
        <v>5145.8113372057596</v>
      </c>
      <c r="AU50" s="373">
        <f t="shared" si="81"/>
        <v>78283.091110399997</v>
      </c>
      <c r="AV50" s="376">
        <f>H50*0.27</f>
        <v>1921.4940545280001</v>
      </c>
      <c r="AW50" s="373">
        <f t="shared" si="82"/>
        <v>5145.8113372057596</v>
      </c>
      <c r="AX50" s="373">
        <f t="shared" si="83"/>
        <v>85399.735756800001</v>
      </c>
      <c r="AY50" s="376">
        <f t="shared" ref="AY50:AY54" si="99">H50*0.27</f>
        <v>1921.4940545280001</v>
      </c>
      <c r="AZ50" s="373">
        <f t="shared" si="57"/>
        <v>5145.8113372057596</v>
      </c>
      <c r="BA50" s="292"/>
      <c r="BC50" s="358"/>
    </row>
    <row r="51" spans="1:55" ht="28.5" x14ac:dyDescent="0.45">
      <c r="A51" s="718"/>
      <c r="B51" s="394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48"/>
        <v>10991.243999999999</v>
      </c>
      <c r="G51" s="233">
        <v>359</v>
      </c>
      <c r="H51" s="353">
        <f t="shared" si="58"/>
        <v>5200.5710559999998</v>
      </c>
      <c r="I51" s="393">
        <v>0.1</v>
      </c>
      <c r="J51" s="362">
        <v>3900</v>
      </c>
      <c r="K51" s="361">
        <f t="shared" si="10"/>
        <v>4007.2237019103995</v>
      </c>
      <c r="L51" s="390">
        <v>4007.2237019103995</v>
      </c>
      <c r="M51" s="390">
        <f t="shared" si="49"/>
        <v>0</v>
      </c>
      <c r="N51" s="390"/>
      <c r="O51" s="390">
        <f t="shared" si="59"/>
        <v>4263.0039382025534</v>
      </c>
      <c r="P51" s="372">
        <f t="shared" si="50"/>
        <v>36.693168969599995</v>
      </c>
      <c r="Q51" s="373">
        <f t="shared" si="60"/>
        <v>5200.5710559999998</v>
      </c>
      <c r="R51" s="378">
        <f t="shared" si="95"/>
        <v>780.08565839999994</v>
      </c>
      <c r="S51" s="373">
        <f t="shared" si="61"/>
        <v>4383.7922286303992</v>
      </c>
      <c r="T51" s="373">
        <f t="shared" si="62"/>
        <v>10401.142112</v>
      </c>
      <c r="U51" s="374">
        <f t="shared" si="96"/>
        <v>800.14276399999994</v>
      </c>
      <c r="V51" s="373">
        <f t="shared" si="63"/>
        <v>4363.7351230303993</v>
      </c>
      <c r="W51" s="373">
        <f t="shared" si="64"/>
        <v>15601.713167999998</v>
      </c>
      <c r="X51" s="374">
        <f>H51*0.2</f>
        <v>1040.1142112</v>
      </c>
      <c r="Y51" s="373">
        <f t="shared" si="65"/>
        <v>4123.7636758303997</v>
      </c>
      <c r="Z51" s="373">
        <f t="shared" si="66"/>
        <v>20802.284223999999</v>
      </c>
      <c r="AA51" s="374">
        <f>H51*0.2</f>
        <v>1040.1142112</v>
      </c>
      <c r="AB51" s="373">
        <f t="shared" si="67"/>
        <v>4123.7636758303997</v>
      </c>
      <c r="AC51" s="373">
        <f t="shared" si="68"/>
        <v>26002.85528</v>
      </c>
      <c r="AD51" s="376">
        <f>(AC51-25000)*0.27+(25000-Z51)*0.2</f>
        <v>1110.3140808000003</v>
      </c>
      <c r="AE51" s="373">
        <f t="shared" si="69"/>
        <v>4053.5638062303992</v>
      </c>
      <c r="AF51" s="373">
        <f t="shared" si="70"/>
        <v>31203.426335999997</v>
      </c>
      <c r="AG51" s="376">
        <f t="shared" si="93"/>
        <v>1404.15418512</v>
      </c>
      <c r="AH51" s="373">
        <f t="shared" si="72"/>
        <v>3759.7237019103995</v>
      </c>
      <c r="AI51" s="373">
        <f t="shared" si="73"/>
        <v>36403.997391999997</v>
      </c>
      <c r="AJ51" s="376">
        <f t="shared" si="94"/>
        <v>1404.15418512</v>
      </c>
      <c r="AK51" s="373">
        <f t="shared" si="74"/>
        <v>3759.7237019103995</v>
      </c>
      <c r="AL51" s="373">
        <f t="shared" si="75"/>
        <v>41604.568447999998</v>
      </c>
      <c r="AM51" s="376">
        <f t="shared" si="97"/>
        <v>1404.15418512</v>
      </c>
      <c r="AN51" s="373">
        <f t="shared" si="76"/>
        <v>3759.7237019103995</v>
      </c>
      <c r="AO51" s="373">
        <f t="shared" si="77"/>
        <v>46805.139503999999</v>
      </c>
      <c r="AP51" s="376">
        <f t="shared" si="98"/>
        <v>1404.15418512</v>
      </c>
      <c r="AQ51" s="373">
        <f t="shared" si="78"/>
        <v>3759.7237019103995</v>
      </c>
      <c r="AR51" s="373">
        <f t="shared" si="79"/>
        <v>52005.71056</v>
      </c>
      <c r="AS51" s="376">
        <f>H51*0.27</f>
        <v>1404.15418512</v>
      </c>
      <c r="AT51" s="373">
        <f t="shared" si="80"/>
        <v>3759.7237019103995</v>
      </c>
      <c r="AU51" s="373">
        <f t="shared" si="81"/>
        <v>57206.281616</v>
      </c>
      <c r="AV51" s="376">
        <f>H51*0.27</f>
        <v>1404.15418512</v>
      </c>
      <c r="AW51" s="373">
        <f t="shared" si="82"/>
        <v>3759.7237019103995</v>
      </c>
      <c r="AX51" s="373">
        <f t="shared" si="83"/>
        <v>62406.852671999994</v>
      </c>
      <c r="AY51" s="376">
        <f t="shared" si="99"/>
        <v>1404.15418512</v>
      </c>
      <c r="AZ51" s="373">
        <f t="shared" si="57"/>
        <v>3759.7237019103995</v>
      </c>
      <c r="BA51" s="292"/>
      <c r="BC51" s="358"/>
    </row>
    <row r="52" spans="1:55" s="564" customFormat="1" ht="42" x14ac:dyDescent="0.45">
      <c r="A52" s="719"/>
      <c r="B52" s="553" t="s">
        <v>199</v>
      </c>
      <c r="C52" s="554">
        <v>125</v>
      </c>
      <c r="D52" s="468">
        <v>3331</v>
      </c>
      <c r="E52" s="468">
        <v>4163</v>
      </c>
      <c r="F52" s="468">
        <f t="shared" si="48"/>
        <v>7494</v>
      </c>
      <c r="G52" s="567">
        <v>278</v>
      </c>
      <c r="H52" s="555">
        <f t="shared" si="58"/>
        <v>5009.6099999999997</v>
      </c>
      <c r="I52" s="464">
        <v>0.5</v>
      </c>
      <c r="J52" s="470">
        <v>3800</v>
      </c>
      <c r="K52" s="556">
        <f t="shared" si="10"/>
        <v>3869.6170740000002</v>
      </c>
      <c r="L52" s="557">
        <v>3810.4870739999988</v>
      </c>
      <c r="M52" s="557">
        <f t="shared" si="49"/>
        <v>-59.130000000001473</v>
      </c>
      <c r="N52" s="557"/>
      <c r="O52" s="557">
        <f t="shared" si="59"/>
        <v>4116.6139085106388</v>
      </c>
      <c r="P52" s="558">
        <f t="shared" si="50"/>
        <v>34.898226000000001</v>
      </c>
      <c r="Q52" s="559">
        <f t="shared" si="60"/>
        <v>5009.6099999999997</v>
      </c>
      <c r="R52" s="560">
        <f t="shared" si="95"/>
        <v>751.44149999999991</v>
      </c>
      <c r="S52" s="561">
        <f t="shared" si="61"/>
        <v>4223.2702739999995</v>
      </c>
      <c r="T52" s="561">
        <f t="shared" si="62"/>
        <v>10019.219999999999</v>
      </c>
      <c r="U52" s="560">
        <f>H52*0.15</f>
        <v>751.44149999999991</v>
      </c>
      <c r="V52" s="561">
        <f t="shared" si="63"/>
        <v>4223.2702739999995</v>
      </c>
      <c r="W52" s="561">
        <f t="shared" si="64"/>
        <v>15028.829999999998</v>
      </c>
      <c r="X52" s="562">
        <f>(W52-10000)*0.2+(10000-T52)*0.15</f>
        <v>1002.8829999999997</v>
      </c>
      <c r="Y52" s="561">
        <f>H52-P52-X52</f>
        <v>3971.8287739999996</v>
      </c>
      <c r="Z52" s="561">
        <f t="shared" si="66"/>
        <v>20038.439999999999</v>
      </c>
      <c r="AA52" s="562">
        <f>H52*0.2</f>
        <v>1001.922</v>
      </c>
      <c r="AB52" s="561">
        <f t="shared" si="67"/>
        <v>3972.7897739999994</v>
      </c>
      <c r="AC52" s="561">
        <f t="shared" si="68"/>
        <v>25048.05</v>
      </c>
      <c r="AD52" s="562">
        <f>H52*0.2</f>
        <v>1001.922</v>
      </c>
      <c r="AE52" s="561">
        <f t="shared" si="69"/>
        <v>3972.7897739999994</v>
      </c>
      <c r="AF52" s="561">
        <f t="shared" si="70"/>
        <v>30057.659999999996</v>
      </c>
      <c r="AG52" s="563">
        <f>(AF52-25000)*0.27+(25000-AC52)*0.2</f>
        <v>1355.9581999999991</v>
      </c>
      <c r="AH52" s="561">
        <f t="shared" si="72"/>
        <v>3618.7535740000003</v>
      </c>
      <c r="AI52" s="561">
        <f t="shared" si="73"/>
        <v>35067.269999999997</v>
      </c>
      <c r="AJ52" s="563">
        <f t="shared" si="94"/>
        <v>1352.5947000000001</v>
      </c>
      <c r="AK52" s="561">
        <f t="shared" si="74"/>
        <v>3622.1170739999993</v>
      </c>
      <c r="AL52" s="561">
        <f t="shared" si="75"/>
        <v>40076.879999999997</v>
      </c>
      <c r="AM52" s="563">
        <f t="shared" si="97"/>
        <v>1352.5947000000001</v>
      </c>
      <c r="AN52" s="561">
        <f t="shared" si="76"/>
        <v>3622.1170739999993</v>
      </c>
      <c r="AO52" s="561">
        <f t="shared" si="77"/>
        <v>45086.49</v>
      </c>
      <c r="AP52" s="563">
        <f t="shared" si="98"/>
        <v>1352.5947000000001</v>
      </c>
      <c r="AQ52" s="561">
        <f t="shared" si="78"/>
        <v>3622.1170739999993</v>
      </c>
      <c r="AR52" s="561">
        <f t="shared" si="79"/>
        <v>50096.1</v>
      </c>
      <c r="AS52" s="563">
        <f>H52*0.27</f>
        <v>1352.5947000000001</v>
      </c>
      <c r="AT52" s="561">
        <f t="shared" si="80"/>
        <v>3622.1170739999993</v>
      </c>
      <c r="AU52" s="561">
        <f t="shared" si="81"/>
        <v>55105.71</v>
      </c>
      <c r="AV52" s="563">
        <f>H52*0.27</f>
        <v>1352.5947000000001</v>
      </c>
      <c r="AW52" s="561">
        <f t="shared" si="82"/>
        <v>3622.1170739999993</v>
      </c>
      <c r="AX52" s="561">
        <f t="shared" si="83"/>
        <v>60115.319999999992</v>
      </c>
      <c r="AY52" s="563">
        <f t="shared" si="99"/>
        <v>1352.5947000000001</v>
      </c>
      <c r="AZ52" s="561">
        <f t="shared" si="57"/>
        <v>3622.1170739999993</v>
      </c>
      <c r="BA52" s="566">
        <f>AVERAGE(R52,U52,X52,AA52,AD52,AG52,AJ52,AM52,AP52,AS52,AV52,AY52,)</f>
        <v>1075.4720307692305</v>
      </c>
      <c r="BC52" s="565"/>
    </row>
    <row r="53" spans="1:55" ht="33.75" customHeight="1" x14ac:dyDescent="0.45">
      <c r="A53" s="752" t="s">
        <v>173</v>
      </c>
      <c r="B53" s="753"/>
      <c r="C53" s="241">
        <v>125</v>
      </c>
      <c r="D53" s="234">
        <v>3330.68</v>
      </c>
      <c r="E53" s="234">
        <v>4163.3499999999995</v>
      </c>
      <c r="F53" s="234">
        <f t="shared" si="48"/>
        <v>7494.0299999999988</v>
      </c>
      <c r="G53" s="233">
        <v>359</v>
      </c>
      <c r="H53" s="353">
        <f t="shared" si="58"/>
        <v>4576.2350899999992</v>
      </c>
      <c r="I53" s="464">
        <v>0.41</v>
      </c>
      <c r="J53" s="362">
        <v>3023</v>
      </c>
      <c r="K53" s="361">
        <f t="shared" si="10"/>
        <v>3555.5790641059998</v>
      </c>
      <c r="L53" s="390">
        <v>3048.4967947859991</v>
      </c>
      <c r="M53" s="390">
        <f t="shared" si="49"/>
        <v>-507.08226932000071</v>
      </c>
      <c r="N53" s="390"/>
      <c r="O53" s="390">
        <f t="shared" si="59"/>
        <v>3782.5309192617019</v>
      </c>
      <c r="P53" s="372">
        <f t="shared" si="50"/>
        <v>32.572551593999997</v>
      </c>
      <c r="Q53" s="373">
        <f t="shared" si="60"/>
        <v>4576.2350899999992</v>
      </c>
      <c r="R53" s="378">
        <f t="shared" si="95"/>
        <v>686.43526349999991</v>
      </c>
      <c r="S53" s="373">
        <f t="shared" si="61"/>
        <v>3857.2272749059989</v>
      </c>
      <c r="T53" s="373">
        <f t="shared" si="62"/>
        <v>9152.4701799999984</v>
      </c>
      <c r="U53" s="378">
        <f>H53*0.15</f>
        <v>686.43526349999991</v>
      </c>
      <c r="V53" s="373">
        <f t="shared" si="63"/>
        <v>3857.2272749059989</v>
      </c>
      <c r="W53" s="373">
        <f t="shared" si="64"/>
        <v>13728.705269999999</v>
      </c>
      <c r="X53" s="374">
        <f>(W53-10000)*0.2+(10000-T53)*0.15</f>
        <v>872.87052699999992</v>
      </c>
      <c r="Y53" s="373">
        <f t="shared" si="65"/>
        <v>3670.7920114059989</v>
      </c>
      <c r="Z53" s="373">
        <f t="shared" si="66"/>
        <v>18304.940359999997</v>
      </c>
      <c r="AA53" s="374">
        <f t="shared" ref="AA53:AA54" si="100">H53*0.2</f>
        <v>915.24701799999991</v>
      </c>
      <c r="AB53" s="373">
        <f t="shared" si="67"/>
        <v>3628.4155204059989</v>
      </c>
      <c r="AC53" s="373">
        <f t="shared" si="68"/>
        <v>22881.175449999995</v>
      </c>
      <c r="AD53" s="374">
        <f>H53*0.2</f>
        <v>915.24701799999991</v>
      </c>
      <c r="AE53" s="373">
        <f t="shared" si="69"/>
        <v>3628.4155204059989</v>
      </c>
      <c r="AF53" s="373">
        <f t="shared" si="70"/>
        <v>27457.410539999997</v>
      </c>
      <c r="AG53" s="374">
        <f>H53*0.2</f>
        <v>915.24701799999991</v>
      </c>
      <c r="AH53" s="373">
        <f t="shared" si="72"/>
        <v>3628.4155204059989</v>
      </c>
      <c r="AI53" s="373">
        <f t="shared" si="73"/>
        <v>32033.645629999995</v>
      </c>
      <c r="AJ53" s="376">
        <f>(AI53-25000)*0.27+(25000-AF53)*0.2</f>
        <v>1407.6022120999994</v>
      </c>
      <c r="AK53" s="373">
        <f t="shared" si="74"/>
        <v>3136.0603263059993</v>
      </c>
      <c r="AL53" s="373">
        <f t="shared" si="75"/>
        <v>36609.880719999994</v>
      </c>
      <c r="AM53" s="376">
        <f t="shared" si="97"/>
        <v>1235.5834742999998</v>
      </c>
      <c r="AN53" s="373">
        <f t="shared" si="76"/>
        <v>3308.0790641059994</v>
      </c>
      <c r="AO53" s="373">
        <f t="shared" si="77"/>
        <v>41186.115809999996</v>
      </c>
      <c r="AP53" s="376">
        <f t="shared" si="98"/>
        <v>1235.5834742999998</v>
      </c>
      <c r="AQ53" s="373">
        <f t="shared" si="78"/>
        <v>3308.0790641059994</v>
      </c>
      <c r="AR53" s="373">
        <f t="shared" si="79"/>
        <v>45762.35089999999</v>
      </c>
      <c r="AS53" s="376">
        <f t="shared" ref="AS53:AS54" si="101">H53*0.27</f>
        <v>1235.5834742999998</v>
      </c>
      <c r="AT53" s="373">
        <f t="shared" si="80"/>
        <v>3308.0790641059994</v>
      </c>
      <c r="AU53" s="373">
        <f t="shared" si="81"/>
        <v>50338.585989999992</v>
      </c>
      <c r="AV53" s="376">
        <f t="shared" ref="AV53:AV54" si="102">H53*0.27</f>
        <v>1235.5834742999998</v>
      </c>
      <c r="AW53" s="373">
        <f t="shared" si="82"/>
        <v>3308.0790641059994</v>
      </c>
      <c r="AX53" s="373">
        <f t="shared" si="83"/>
        <v>54914.821079999994</v>
      </c>
      <c r="AY53" s="376">
        <f t="shared" si="99"/>
        <v>1235.5834742999998</v>
      </c>
      <c r="AZ53" s="373">
        <f t="shared" si="57"/>
        <v>3308.0790641059994</v>
      </c>
      <c r="BA53" s="292"/>
      <c r="BC53" s="358"/>
    </row>
    <row r="54" spans="1:55" ht="29.25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48"/>
        <v>4996.01</v>
      </c>
      <c r="G54" s="233">
        <v>278</v>
      </c>
      <c r="H54" s="353">
        <f t="shared" si="58"/>
        <v>3699.3255999999997</v>
      </c>
      <c r="I54" s="363">
        <v>0.63</v>
      </c>
      <c r="J54" s="362">
        <v>2822</v>
      </c>
      <c r="K54" s="361">
        <f t="shared" si="10"/>
        <v>2921.7573390399998</v>
      </c>
      <c r="L54" s="390">
        <v>2921.7573390399998</v>
      </c>
      <c r="M54" s="390">
        <f t="shared" si="49"/>
        <v>0</v>
      </c>
      <c r="N54" s="390"/>
      <c r="O54" s="390">
        <f t="shared" si="59"/>
        <v>3108.2524883404253</v>
      </c>
      <c r="P54" s="372">
        <f t="shared" si="50"/>
        <v>26.250348959999997</v>
      </c>
      <c r="Q54" s="373">
        <f t="shared" si="60"/>
        <v>3699.3255999999997</v>
      </c>
      <c r="R54" s="378">
        <f t="shared" si="95"/>
        <v>554.89883999999995</v>
      </c>
      <c r="S54" s="373">
        <f t="shared" si="61"/>
        <v>3118.1764110399999</v>
      </c>
      <c r="T54" s="373">
        <f t="shared" si="62"/>
        <v>7398.6511999999993</v>
      </c>
      <c r="U54" s="378">
        <f>H54*0.15</f>
        <v>554.89883999999995</v>
      </c>
      <c r="V54" s="373">
        <f t="shared" si="63"/>
        <v>3118.1764110399999</v>
      </c>
      <c r="W54" s="373">
        <f t="shared" si="64"/>
        <v>11097.976799999999</v>
      </c>
      <c r="X54" s="374">
        <f>(W54-10000)*0.2+(10000-T54)*0.15</f>
        <v>609.79767999999979</v>
      </c>
      <c r="Y54" s="373">
        <f t="shared" si="65"/>
        <v>3063.2775710400001</v>
      </c>
      <c r="Z54" s="373">
        <f t="shared" si="66"/>
        <v>14797.302399999999</v>
      </c>
      <c r="AA54" s="374">
        <f t="shared" si="100"/>
        <v>739.86511999999993</v>
      </c>
      <c r="AB54" s="373">
        <f t="shared" si="67"/>
        <v>2933.2101310399999</v>
      </c>
      <c r="AC54" s="373">
        <f t="shared" si="68"/>
        <v>18496.627999999997</v>
      </c>
      <c r="AD54" s="374">
        <f>H54*0.2</f>
        <v>739.86511999999993</v>
      </c>
      <c r="AE54" s="373">
        <f t="shared" si="69"/>
        <v>2933.2101310399999</v>
      </c>
      <c r="AF54" s="373">
        <f t="shared" si="70"/>
        <v>22195.953599999997</v>
      </c>
      <c r="AG54" s="374">
        <f>H54*0.2</f>
        <v>739.86511999999993</v>
      </c>
      <c r="AH54" s="373">
        <f t="shared" si="72"/>
        <v>2933.2101310399999</v>
      </c>
      <c r="AI54" s="373">
        <f t="shared" si="73"/>
        <v>25895.279199999997</v>
      </c>
      <c r="AJ54" s="376">
        <f>(AI54-25000)*0.27+(25000-AF54)*0.2</f>
        <v>802.53466399999991</v>
      </c>
      <c r="AK54" s="373">
        <f t="shared" si="74"/>
        <v>2870.54058704</v>
      </c>
      <c r="AL54" s="373">
        <f t="shared" si="75"/>
        <v>29594.604799999997</v>
      </c>
      <c r="AM54" s="376">
        <f t="shared" si="97"/>
        <v>998.81791199999998</v>
      </c>
      <c r="AN54" s="373">
        <f t="shared" si="76"/>
        <v>2674.2573390399998</v>
      </c>
      <c r="AO54" s="373">
        <f t="shared" si="77"/>
        <v>33293.930399999997</v>
      </c>
      <c r="AP54" s="376">
        <f t="shared" si="98"/>
        <v>998.81791199999998</v>
      </c>
      <c r="AQ54" s="373">
        <f t="shared" si="78"/>
        <v>2674.2573390399998</v>
      </c>
      <c r="AR54" s="373">
        <f t="shared" si="79"/>
        <v>36993.255999999994</v>
      </c>
      <c r="AS54" s="376">
        <f t="shared" si="101"/>
        <v>998.81791199999998</v>
      </c>
      <c r="AT54" s="373">
        <f t="shared" si="80"/>
        <v>2674.2573390399998</v>
      </c>
      <c r="AU54" s="373">
        <f t="shared" si="81"/>
        <v>40692.581599999998</v>
      </c>
      <c r="AV54" s="376">
        <f t="shared" si="102"/>
        <v>998.81791199999998</v>
      </c>
      <c r="AW54" s="373">
        <f t="shared" si="82"/>
        <v>2674.2573390399998</v>
      </c>
      <c r="AX54" s="373">
        <f t="shared" si="83"/>
        <v>44391.907199999994</v>
      </c>
      <c r="AY54" s="376">
        <f t="shared" si="99"/>
        <v>998.81791199999998</v>
      </c>
      <c r="AZ54" s="373">
        <f t="shared" si="57"/>
        <v>2674.2573390399998</v>
      </c>
      <c r="BA54" s="292"/>
      <c r="BC54" s="358"/>
    </row>
    <row r="55" spans="1:55" x14ac:dyDescent="0.35">
      <c r="AP55" s="379"/>
    </row>
  </sheetData>
  <mergeCells count="11">
    <mergeCell ref="A28:B28"/>
    <mergeCell ref="A1:F1"/>
    <mergeCell ref="A4:B4"/>
    <mergeCell ref="A6:A14"/>
    <mergeCell ref="A15:A23"/>
    <mergeCell ref="A24:A27"/>
    <mergeCell ref="A30:A38"/>
    <mergeCell ref="A39:A46"/>
    <mergeCell ref="A47:A52"/>
    <mergeCell ref="A53:B53"/>
    <mergeCell ref="A54:B5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6" zoomScale="70" zoomScaleNormal="70" workbookViewId="0">
      <selection activeCell="A16" sqref="A1:XFD1048576"/>
    </sheetView>
  </sheetViews>
  <sheetFormatPr defaultRowHeight="21" x14ac:dyDescent="0.35"/>
  <cols>
    <col min="1" max="1" width="22.5703125" style="202" customWidth="1"/>
    <col min="2" max="2" width="63.28515625" style="130" customWidth="1"/>
    <col min="3" max="3" width="18" customWidth="1"/>
    <col min="4" max="6" width="20.5703125" customWidth="1"/>
    <col min="7" max="7" width="18.28515625" style="577" customWidth="1"/>
    <col min="8" max="8" width="24.42578125" hidden="1" customWidth="1"/>
    <col min="9" max="9" width="29.7109375" customWidth="1"/>
    <col min="10" max="10" width="29.140625" customWidth="1"/>
    <col min="11" max="11" width="24.140625" customWidth="1"/>
    <col min="12" max="12" width="29.7109375" customWidth="1"/>
  </cols>
  <sheetData>
    <row r="1" spans="1:12" ht="28.5" hidden="1" customHeight="1" x14ac:dyDescent="0.25">
      <c r="A1" s="660" t="s">
        <v>196</v>
      </c>
      <c r="B1" s="660"/>
      <c r="C1" s="660"/>
      <c r="D1" s="660"/>
      <c r="E1" s="660"/>
      <c r="F1" s="660"/>
    </row>
    <row r="2" spans="1:12" ht="24" hidden="1" thickBot="1" x14ac:dyDescent="0.4">
      <c r="A2" s="192"/>
      <c r="B2" s="2"/>
      <c r="C2" s="2"/>
      <c r="D2" s="2"/>
      <c r="E2" s="2"/>
      <c r="F2" s="2"/>
      <c r="I2" s="385"/>
    </row>
    <row r="3" spans="1:12" ht="27" hidden="1" thickBot="1" x14ac:dyDescent="0.3">
      <c r="A3" s="236" t="s">
        <v>1</v>
      </c>
      <c r="B3" s="4"/>
      <c r="C3" s="4"/>
      <c r="D3" s="4"/>
      <c r="E3" s="4"/>
      <c r="F3" s="4"/>
    </row>
    <row r="4" spans="1:12" ht="87.75" customHeight="1" thickBot="1" x14ac:dyDescent="0.3">
      <c r="A4" s="775" t="s">
        <v>299</v>
      </c>
      <c r="B4" s="776"/>
      <c r="C4" s="776"/>
      <c r="D4" s="776"/>
      <c r="E4" s="776"/>
      <c r="F4" s="776"/>
      <c r="G4" s="776"/>
      <c r="H4" s="776"/>
      <c r="I4" s="776"/>
      <c r="J4" s="776"/>
      <c r="K4" s="777"/>
    </row>
    <row r="5" spans="1:12" ht="105" customHeight="1" thickBot="1" x14ac:dyDescent="0.3">
      <c r="A5" s="757" t="s">
        <v>2</v>
      </c>
      <c r="B5" s="758"/>
      <c r="C5" s="595" t="s">
        <v>297</v>
      </c>
      <c r="D5" s="576" t="s">
        <v>229</v>
      </c>
      <c r="E5" s="576" t="s">
        <v>253</v>
      </c>
      <c r="F5" s="576" t="s">
        <v>231</v>
      </c>
      <c r="G5" s="576" t="s">
        <v>298</v>
      </c>
      <c r="H5" s="529" t="s">
        <v>279</v>
      </c>
      <c r="I5" s="529" t="s">
        <v>293</v>
      </c>
      <c r="J5" s="529" t="s">
        <v>295</v>
      </c>
      <c r="K5" s="529" t="s">
        <v>296</v>
      </c>
      <c r="L5" s="531"/>
    </row>
    <row r="6" spans="1:12" s="233" customFormat="1" ht="12" customHeight="1" x14ac:dyDescent="0.45">
      <c r="A6" s="524"/>
      <c r="B6" s="525"/>
      <c r="C6" s="526"/>
      <c r="D6" s="526"/>
      <c r="E6" s="526"/>
      <c r="F6" s="526"/>
      <c r="G6" s="526"/>
      <c r="H6" s="526"/>
      <c r="I6" s="526"/>
      <c r="J6" s="526"/>
      <c r="K6" s="598"/>
      <c r="L6" s="596"/>
    </row>
    <row r="7" spans="1:12" s="233" customFormat="1" ht="40.5" customHeight="1" x14ac:dyDescent="0.45">
      <c r="A7" s="766" t="s">
        <v>11</v>
      </c>
      <c r="B7" s="227" t="s">
        <v>212</v>
      </c>
      <c r="C7" s="492">
        <v>550</v>
      </c>
      <c r="D7" s="493">
        <v>6661</v>
      </c>
      <c r="E7" s="493">
        <v>18318.739999999998</v>
      </c>
      <c r="F7" s="578">
        <v>24979.739999999998</v>
      </c>
      <c r="G7" s="583">
        <v>0.7</v>
      </c>
      <c r="H7" s="584">
        <v>12600</v>
      </c>
      <c r="I7" s="491">
        <v>12559.370599382668</v>
      </c>
      <c r="J7" s="491">
        <v>13144</v>
      </c>
      <c r="K7" s="518">
        <v>11981.843010898663</v>
      </c>
      <c r="L7" s="597"/>
    </row>
    <row r="8" spans="1:12" s="233" customFormat="1" ht="40.5" customHeight="1" x14ac:dyDescent="0.45">
      <c r="A8" s="767"/>
      <c r="B8" s="227" t="s">
        <v>211</v>
      </c>
      <c r="C8" s="492">
        <v>550</v>
      </c>
      <c r="D8" s="493">
        <v>6661</v>
      </c>
      <c r="E8" s="493">
        <v>18318.739999999998</v>
      </c>
      <c r="F8" s="578">
        <v>24979.739999999998</v>
      </c>
      <c r="G8" s="583">
        <v>0.33</v>
      </c>
      <c r="H8" s="584">
        <v>8500</v>
      </c>
      <c r="I8" s="491">
        <v>8503.712574947067</v>
      </c>
      <c r="J8" s="491">
        <v>8783</v>
      </c>
      <c r="K8" s="518">
        <v>8231.4495689474679</v>
      </c>
      <c r="L8" s="597"/>
    </row>
    <row r="9" spans="1:12" s="233" customFormat="1" ht="40.5" customHeight="1" x14ac:dyDescent="0.45">
      <c r="A9" s="767"/>
      <c r="B9" s="227" t="s">
        <v>213</v>
      </c>
      <c r="C9" s="492">
        <v>550</v>
      </c>
      <c r="D9" s="493">
        <v>6661</v>
      </c>
      <c r="E9" s="493">
        <v>18318.739999999998</v>
      </c>
      <c r="F9" s="578">
        <v>24979.739999999998</v>
      </c>
      <c r="G9" s="583">
        <v>0.2</v>
      </c>
      <c r="H9" s="584">
        <v>7066</v>
      </c>
      <c r="I9" s="491">
        <v>7078.7516474426657</v>
      </c>
      <c r="J9" s="491">
        <v>7251</v>
      </c>
      <c r="K9" s="518">
        <v>6894.2464951520014</v>
      </c>
      <c r="L9" s="597"/>
    </row>
    <row r="10" spans="1:12" s="233" customFormat="1" ht="40.5" customHeight="1" x14ac:dyDescent="0.45">
      <c r="A10" s="767"/>
      <c r="B10" s="227" t="s">
        <v>32</v>
      </c>
      <c r="C10" s="492">
        <v>400</v>
      </c>
      <c r="D10" s="493">
        <v>6661</v>
      </c>
      <c r="E10" s="493">
        <v>13322.72</v>
      </c>
      <c r="F10" s="578">
        <v>19983.72</v>
      </c>
      <c r="G10" s="583">
        <v>0.63</v>
      </c>
      <c r="H10" s="584">
        <v>9900</v>
      </c>
      <c r="I10" s="491">
        <v>9908.743978989869</v>
      </c>
      <c r="J10" s="491">
        <v>10294</v>
      </c>
      <c r="K10" s="518">
        <v>9530.7259210730663</v>
      </c>
      <c r="L10" s="597"/>
    </row>
    <row r="11" spans="1:12" s="233" customFormat="1" ht="40.5" customHeight="1" x14ac:dyDescent="0.45">
      <c r="A11" s="767"/>
      <c r="B11" s="227" t="s">
        <v>233</v>
      </c>
      <c r="C11" s="492">
        <v>400</v>
      </c>
      <c r="D11" s="493">
        <v>6661</v>
      </c>
      <c r="E11" s="493">
        <v>13322.72</v>
      </c>
      <c r="F11" s="578">
        <v>19983.72</v>
      </c>
      <c r="G11" s="583">
        <v>0.5</v>
      </c>
      <c r="H11" s="584">
        <v>8900</v>
      </c>
      <c r="I11" s="491">
        <v>8872.3745149866663</v>
      </c>
      <c r="J11" s="491">
        <v>9179</v>
      </c>
      <c r="K11" s="518">
        <v>8572.3944273066681</v>
      </c>
      <c r="L11" s="597"/>
    </row>
    <row r="12" spans="1:12" s="233" customFormat="1" ht="40.5" customHeight="1" x14ac:dyDescent="0.45">
      <c r="A12" s="767"/>
      <c r="B12" s="227" t="s">
        <v>234</v>
      </c>
      <c r="C12" s="492">
        <v>300</v>
      </c>
      <c r="D12" s="493">
        <v>6661</v>
      </c>
      <c r="E12" s="493">
        <v>9992.0399999999991</v>
      </c>
      <c r="F12" s="578">
        <v>16653.04</v>
      </c>
      <c r="G12" s="583">
        <v>0.42</v>
      </c>
      <c r="H12" s="584">
        <v>7400</v>
      </c>
      <c r="I12" s="491">
        <v>7397.624022828265</v>
      </c>
      <c r="J12" s="491">
        <v>7593</v>
      </c>
      <c r="K12" s="518">
        <v>7208.6149938698645</v>
      </c>
      <c r="L12" s="597"/>
    </row>
    <row r="13" spans="1:12" s="380" customFormat="1" ht="40.5" customHeight="1" x14ac:dyDescent="0.45">
      <c r="A13" s="767"/>
      <c r="B13" s="227" t="s">
        <v>236</v>
      </c>
      <c r="C13" s="492">
        <v>300</v>
      </c>
      <c r="D13" s="493">
        <v>6661</v>
      </c>
      <c r="E13" s="493">
        <v>9992.0399999999991</v>
      </c>
      <c r="F13" s="578">
        <v>16653.04</v>
      </c>
      <c r="G13" s="583">
        <v>0.39</v>
      </c>
      <c r="H13" s="584">
        <v>7200</v>
      </c>
      <c r="I13" s="491">
        <v>7218.2583116738651</v>
      </c>
      <c r="J13" s="491">
        <v>7401</v>
      </c>
      <c r="K13" s="518">
        <v>7042.7499276410672</v>
      </c>
      <c r="L13" s="597"/>
    </row>
    <row r="14" spans="1:12" s="233" customFormat="1" ht="40.5" customHeight="1" x14ac:dyDescent="0.45">
      <c r="A14" s="767"/>
      <c r="B14" s="227" t="s">
        <v>235</v>
      </c>
      <c r="C14" s="492">
        <v>300</v>
      </c>
      <c r="D14" s="493">
        <v>6661</v>
      </c>
      <c r="E14" s="493">
        <v>9992.0399999999991</v>
      </c>
      <c r="F14" s="578">
        <v>16653.04</v>
      </c>
      <c r="G14" s="583">
        <v>0.32</v>
      </c>
      <c r="H14" s="584">
        <v>6800</v>
      </c>
      <c r="I14" s="491">
        <v>6799.7383189802667</v>
      </c>
      <c r="J14" s="491">
        <v>6951</v>
      </c>
      <c r="K14" s="518">
        <v>6655.7314397738674</v>
      </c>
      <c r="L14" s="597"/>
    </row>
    <row r="15" spans="1:12" s="233" customFormat="1" ht="40.5" customHeight="1" x14ac:dyDescent="0.45">
      <c r="A15" s="768"/>
      <c r="B15" s="227" t="s">
        <v>216</v>
      </c>
      <c r="C15" s="492">
        <v>300</v>
      </c>
      <c r="D15" s="493">
        <v>6661</v>
      </c>
      <c r="E15" s="493">
        <v>9992.0399999999991</v>
      </c>
      <c r="F15" s="578">
        <v>16653.04</v>
      </c>
      <c r="G15" s="583">
        <v>0.22</v>
      </c>
      <c r="H15" s="584">
        <v>6200</v>
      </c>
      <c r="I15" s="491">
        <v>6201.8526151322667</v>
      </c>
      <c r="J15" s="491">
        <v>6308</v>
      </c>
      <c r="K15" s="518">
        <v>6102.8478856778665</v>
      </c>
      <c r="L15" s="597"/>
    </row>
    <row r="16" spans="1:12" s="233" customFormat="1" ht="40.5" customHeight="1" x14ac:dyDescent="0.45">
      <c r="A16" s="769" t="s">
        <v>15</v>
      </c>
      <c r="B16" s="227" t="s">
        <v>215</v>
      </c>
      <c r="C16" s="492">
        <v>600</v>
      </c>
      <c r="D16" s="493">
        <v>4996.0199999999995</v>
      </c>
      <c r="E16" s="493">
        <v>19984.079999999998</v>
      </c>
      <c r="F16" s="578">
        <v>24980.1</v>
      </c>
      <c r="G16" s="583">
        <v>0.67</v>
      </c>
      <c r="H16" s="585">
        <v>11900</v>
      </c>
      <c r="I16" s="590">
        <v>11826.924366229863</v>
      </c>
      <c r="J16" s="590">
        <v>12437</v>
      </c>
      <c r="K16" s="592">
        <v>11223.895559553066</v>
      </c>
      <c r="L16" s="597"/>
    </row>
    <row r="17" spans="1:12" s="233" customFormat="1" ht="40.5" customHeight="1" x14ac:dyDescent="0.45">
      <c r="A17" s="769"/>
      <c r="B17" s="227" t="s">
        <v>214</v>
      </c>
      <c r="C17" s="492">
        <v>600</v>
      </c>
      <c r="D17" s="493">
        <v>4996.0199999999995</v>
      </c>
      <c r="E17" s="493">
        <v>19984.079999999998</v>
      </c>
      <c r="F17" s="578">
        <v>24980.1</v>
      </c>
      <c r="G17" s="583">
        <v>0.35</v>
      </c>
      <c r="H17" s="585">
        <v>8000</v>
      </c>
      <c r="I17" s="590">
        <v>8000.4558616026688</v>
      </c>
      <c r="J17" s="590">
        <v>8322</v>
      </c>
      <c r="K17" s="592">
        <v>7685.4408133386678</v>
      </c>
      <c r="L17" s="597"/>
    </row>
    <row r="18" spans="1:12" s="233" customFormat="1" ht="40.5" customHeight="1" x14ac:dyDescent="0.45">
      <c r="A18" s="769"/>
      <c r="B18" s="227" t="s">
        <v>213</v>
      </c>
      <c r="C18" s="492">
        <v>600</v>
      </c>
      <c r="D18" s="493">
        <v>4996.0199999999995</v>
      </c>
      <c r="E18" s="493">
        <v>19984.079999999998</v>
      </c>
      <c r="F18" s="578">
        <v>24980.1</v>
      </c>
      <c r="G18" s="583">
        <v>0.25</v>
      </c>
      <c r="H18" s="585">
        <v>6804</v>
      </c>
      <c r="I18" s="590">
        <v>6804.684453906666</v>
      </c>
      <c r="J18" s="590">
        <v>7036</v>
      </c>
      <c r="K18" s="592">
        <v>6579.6737051466662</v>
      </c>
      <c r="L18" s="597"/>
    </row>
    <row r="19" spans="1:12" s="233" customFormat="1" ht="40.5" customHeight="1" x14ac:dyDescent="0.45">
      <c r="A19" s="769"/>
      <c r="B19" s="227" t="s">
        <v>32</v>
      </c>
      <c r="C19" s="492">
        <v>450</v>
      </c>
      <c r="D19" s="493">
        <v>4996.0199999999995</v>
      </c>
      <c r="E19" s="493">
        <v>14988.06</v>
      </c>
      <c r="F19" s="578">
        <v>19984.079999999998</v>
      </c>
      <c r="G19" s="583">
        <v>0.63</v>
      </c>
      <c r="H19" s="585">
        <v>9500</v>
      </c>
      <c r="I19" s="590">
        <v>9465.2758360302669</v>
      </c>
      <c r="J19" s="590">
        <v>9897</v>
      </c>
      <c r="K19" s="592">
        <v>9040.0055208738631</v>
      </c>
      <c r="L19" s="597"/>
    </row>
    <row r="20" spans="1:12" s="233" customFormat="1" ht="40.5" customHeight="1" x14ac:dyDescent="0.45">
      <c r="A20" s="769"/>
      <c r="B20" s="227" t="s">
        <v>237</v>
      </c>
      <c r="C20" s="492">
        <v>450</v>
      </c>
      <c r="D20" s="493">
        <v>4996.0199999999995</v>
      </c>
      <c r="E20" s="493">
        <v>14988.06</v>
      </c>
      <c r="F20" s="578">
        <v>19984.079999999998</v>
      </c>
      <c r="G20" s="583">
        <v>0.5</v>
      </c>
      <c r="H20" s="585">
        <v>8300</v>
      </c>
      <c r="I20" s="590">
        <v>8299.3987135266634</v>
      </c>
      <c r="J20" s="590">
        <v>8643</v>
      </c>
      <c r="K20" s="592">
        <v>7961.8825903866646</v>
      </c>
      <c r="L20" s="597"/>
    </row>
    <row r="21" spans="1:12" s="233" customFormat="1" ht="40.5" customHeight="1" x14ac:dyDescent="0.45">
      <c r="A21" s="769"/>
      <c r="B21" s="227" t="s">
        <v>238</v>
      </c>
      <c r="C21" s="492">
        <v>300</v>
      </c>
      <c r="D21" s="493">
        <v>4996.0199999999995</v>
      </c>
      <c r="E21" s="493">
        <v>9992.0399999999991</v>
      </c>
      <c r="F21" s="578">
        <v>14988.059999999998</v>
      </c>
      <c r="G21" s="583">
        <v>0.59</v>
      </c>
      <c r="H21" s="585">
        <v>7300</v>
      </c>
      <c r="I21" s="590">
        <v>7342.7815873698664</v>
      </c>
      <c r="J21" s="590">
        <v>7615</v>
      </c>
      <c r="K21" s="592">
        <v>7077.2689038330655</v>
      </c>
      <c r="L21" s="597"/>
    </row>
    <row r="22" spans="1:12" s="233" customFormat="1" ht="40.5" customHeight="1" x14ac:dyDescent="0.45">
      <c r="A22" s="769"/>
      <c r="B22" s="227" t="s">
        <v>240</v>
      </c>
      <c r="C22" s="492">
        <v>300</v>
      </c>
      <c r="D22" s="493">
        <v>4996.0199999999995</v>
      </c>
      <c r="E22" s="493">
        <v>9992.0399999999991</v>
      </c>
      <c r="F22" s="578">
        <v>14988.059999999998</v>
      </c>
      <c r="G22" s="583">
        <v>0.55000000000000004</v>
      </c>
      <c r="H22" s="585">
        <v>7100</v>
      </c>
      <c r="I22" s="590">
        <v>7103.627305830666</v>
      </c>
      <c r="J22" s="590">
        <v>7358</v>
      </c>
      <c r="K22" s="592">
        <v>6856.1154821946666</v>
      </c>
      <c r="L22" s="597"/>
    </row>
    <row r="23" spans="1:12" s="233" customFormat="1" ht="40.5" customHeight="1" x14ac:dyDescent="0.45">
      <c r="A23" s="769"/>
      <c r="B23" s="227" t="s">
        <v>239</v>
      </c>
      <c r="C23" s="492">
        <v>300</v>
      </c>
      <c r="D23" s="493">
        <v>4996.0199999999995</v>
      </c>
      <c r="E23" s="493">
        <v>9992.0399999999991</v>
      </c>
      <c r="F23" s="578">
        <v>14988.059999999998</v>
      </c>
      <c r="G23" s="583">
        <v>0.51</v>
      </c>
      <c r="H23" s="585">
        <v>6900</v>
      </c>
      <c r="I23" s="590">
        <v>6864.4730242914638</v>
      </c>
      <c r="J23" s="590">
        <v>7101</v>
      </c>
      <c r="K23" s="592">
        <v>6634.9620605562659</v>
      </c>
      <c r="L23" s="597"/>
    </row>
    <row r="24" spans="1:12" s="233" customFormat="1" ht="40.5" customHeight="1" x14ac:dyDescent="0.45">
      <c r="A24" s="769"/>
      <c r="B24" s="227" t="s">
        <v>216</v>
      </c>
      <c r="C24" s="492">
        <v>300</v>
      </c>
      <c r="D24" s="493">
        <v>4996.0199999999995</v>
      </c>
      <c r="E24" s="493">
        <v>9992.0399999999991</v>
      </c>
      <c r="F24" s="578">
        <v>14988.059999999998</v>
      </c>
      <c r="G24" s="583">
        <v>0.18</v>
      </c>
      <c r="H24" s="585">
        <v>4900</v>
      </c>
      <c r="I24" s="590">
        <v>4809.5585346064008</v>
      </c>
      <c r="J24" s="590">
        <v>4907</v>
      </c>
      <c r="K24" s="592">
        <v>4718.4826887328009</v>
      </c>
      <c r="L24" s="597"/>
    </row>
    <row r="25" spans="1:12" s="380" customFormat="1" ht="40.5" customHeight="1" x14ac:dyDescent="0.45">
      <c r="A25" s="770" t="s">
        <v>172</v>
      </c>
      <c r="B25" s="275" t="s">
        <v>282</v>
      </c>
      <c r="C25" s="579">
        <v>125</v>
      </c>
      <c r="D25" s="493">
        <v>3330.68</v>
      </c>
      <c r="E25" s="493">
        <v>4163.3499999999995</v>
      </c>
      <c r="F25" s="578">
        <v>7494.0299999999988</v>
      </c>
      <c r="G25" s="583">
        <v>0.93</v>
      </c>
      <c r="H25" s="586">
        <v>5000</v>
      </c>
      <c r="I25" s="590">
        <v>4999.7215276110001</v>
      </c>
      <c r="J25" s="590">
        <v>5262</v>
      </c>
      <c r="K25" s="592">
        <v>4803.6554705219978</v>
      </c>
      <c r="L25" s="597"/>
    </row>
    <row r="26" spans="1:12" s="380" customFormat="1" ht="40.5" customHeight="1" x14ac:dyDescent="0.45">
      <c r="A26" s="771"/>
      <c r="B26" s="275" t="s">
        <v>281</v>
      </c>
      <c r="C26" s="579">
        <v>125</v>
      </c>
      <c r="D26" s="493">
        <v>3330.68</v>
      </c>
      <c r="E26" s="493">
        <v>4163.3499999999995</v>
      </c>
      <c r="F26" s="578">
        <v>7494.0299999999988</v>
      </c>
      <c r="G26" s="583">
        <v>0.75</v>
      </c>
      <c r="H26" s="586">
        <v>4500</v>
      </c>
      <c r="I26" s="590">
        <v>4495.5516665250007</v>
      </c>
      <c r="J26" s="590">
        <v>4720</v>
      </c>
      <c r="K26" s="592">
        <v>4337.4338785499995</v>
      </c>
      <c r="L26" s="597"/>
    </row>
    <row r="27" spans="1:12" s="233" customFormat="1" ht="40.5" customHeight="1" x14ac:dyDescent="0.45">
      <c r="A27" s="771"/>
      <c r="B27" s="227" t="s">
        <v>292</v>
      </c>
      <c r="C27" s="579">
        <v>125</v>
      </c>
      <c r="D27" s="493">
        <v>3330.68</v>
      </c>
      <c r="E27" s="493">
        <v>4163.3499999999995</v>
      </c>
      <c r="F27" s="578">
        <v>7494.0299999999988</v>
      </c>
      <c r="G27" s="583">
        <v>0.52</v>
      </c>
      <c r="H27" s="585">
        <v>4000</v>
      </c>
      <c r="I27" s="590">
        <v>3910.4646218039993</v>
      </c>
      <c r="J27" s="590">
        <v>4027</v>
      </c>
      <c r="K27" s="592">
        <v>3800.1240398080004</v>
      </c>
      <c r="L27" s="597"/>
    </row>
    <row r="28" spans="1:12" s="233" customFormat="1" ht="40.5" customHeight="1" x14ac:dyDescent="0.45">
      <c r="A28" s="772"/>
      <c r="B28" s="227" t="s">
        <v>198</v>
      </c>
      <c r="C28" s="579">
        <v>125</v>
      </c>
      <c r="D28" s="493">
        <v>3330.68</v>
      </c>
      <c r="E28" s="493">
        <v>4163.3499999999995</v>
      </c>
      <c r="F28" s="578">
        <v>7494.0299999999988</v>
      </c>
      <c r="G28" s="583">
        <v>0.18</v>
      </c>
      <c r="H28" s="585">
        <v>3000</v>
      </c>
      <c r="I28" s="590">
        <v>2958.1437730859993</v>
      </c>
      <c r="J28" s="590">
        <v>3003</v>
      </c>
      <c r="K28" s="592">
        <v>2920.1955039719992</v>
      </c>
      <c r="L28" s="597"/>
    </row>
    <row r="29" spans="1:12" s="233" customFormat="1" ht="40.5" customHeight="1" thickBot="1" x14ac:dyDescent="0.5">
      <c r="A29" s="773" t="s">
        <v>171</v>
      </c>
      <c r="B29" s="774"/>
      <c r="C29" s="599">
        <v>50</v>
      </c>
      <c r="D29" s="581">
        <v>1665.34</v>
      </c>
      <c r="E29" s="581">
        <v>1665.34</v>
      </c>
      <c r="F29" s="582">
        <v>3330.68</v>
      </c>
      <c r="G29" s="588">
        <v>0.54</v>
      </c>
      <c r="H29" s="589">
        <v>1795</v>
      </c>
      <c r="I29" s="593">
        <v>1854.2707893032</v>
      </c>
      <c r="J29" s="593">
        <v>1907</v>
      </c>
      <c r="K29" s="594">
        <v>1808.7328663663993</v>
      </c>
      <c r="L29" s="597"/>
    </row>
    <row r="30" spans="1:12" s="345" customFormat="1" ht="15.75" customHeight="1" thickBot="1" x14ac:dyDescent="0.3">
      <c r="A30" s="600"/>
      <c r="B30" s="601"/>
      <c r="C30" s="602"/>
      <c r="D30" s="602"/>
      <c r="E30" s="602"/>
      <c r="F30" s="603"/>
      <c r="G30" s="604"/>
      <c r="H30" s="591"/>
      <c r="I30" s="605"/>
      <c r="J30" s="605"/>
      <c r="K30" s="605"/>
      <c r="L30" s="606"/>
    </row>
    <row r="31" spans="1:12" s="345" customFormat="1" ht="81.75" customHeight="1" thickBot="1" x14ac:dyDescent="0.3">
      <c r="A31" s="775" t="s">
        <v>302</v>
      </c>
      <c r="B31" s="776"/>
      <c r="C31" s="776"/>
      <c r="D31" s="776"/>
      <c r="E31" s="776"/>
      <c r="F31" s="776"/>
      <c r="G31" s="776"/>
      <c r="H31" s="776"/>
      <c r="I31" s="776"/>
      <c r="J31" s="776"/>
      <c r="K31" s="776"/>
      <c r="L31" s="777"/>
    </row>
    <row r="32" spans="1:12" s="345" customFormat="1" ht="98.25" customHeight="1" thickBot="1" x14ac:dyDescent="0.3">
      <c r="A32" s="757" t="s">
        <v>2</v>
      </c>
      <c r="B32" s="758"/>
      <c r="C32" s="595" t="s">
        <v>297</v>
      </c>
      <c r="D32" s="576" t="s">
        <v>229</v>
      </c>
      <c r="E32" s="576" t="s">
        <v>253</v>
      </c>
      <c r="F32" s="576" t="s">
        <v>231</v>
      </c>
      <c r="G32" s="576" t="s">
        <v>298</v>
      </c>
      <c r="H32" s="529" t="s">
        <v>279</v>
      </c>
      <c r="I32" s="529" t="s">
        <v>293</v>
      </c>
      <c r="J32" s="529" t="s">
        <v>300</v>
      </c>
      <c r="K32" s="529" t="s">
        <v>301</v>
      </c>
      <c r="L32" s="531" t="s">
        <v>294</v>
      </c>
    </row>
    <row r="33" spans="1:12" ht="40.5" customHeight="1" x14ac:dyDescent="0.25">
      <c r="A33" s="778" t="s">
        <v>28</v>
      </c>
      <c r="B33" s="227" t="s">
        <v>215</v>
      </c>
      <c r="C33" s="492">
        <v>600</v>
      </c>
      <c r="D33" s="493">
        <v>4996.0199999999995</v>
      </c>
      <c r="E33" s="493">
        <v>19984.079999999998</v>
      </c>
      <c r="F33" s="578">
        <v>24980.1</v>
      </c>
      <c r="G33" s="583">
        <v>0.66</v>
      </c>
      <c r="H33" s="585">
        <v>11900</v>
      </c>
      <c r="I33" s="590">
        <v>11792.208422135467</v>
      </c>
      <c r="J33" s="590">
        <v>12138</v>
      </c>
      <c r="K33" s="590">
        <v>11113.31884873387</v>
      </c>
      <c r="L33" s="592">
        <v>12301.375602186667</v>
      </c>
    </row>
    <row r="34" spans="1:12" ht="40.5" customHeight="1" x14ac:dyDescent="0.25">
      <c r="A34" s="778"/>
      <c r="B34" s="227" t="s">
        <v>214</v>
      </c>
      <c r="C34" s="492">
        <v>600</v>
      </c>
      <c r="D34" s="493">
        <v>4996.0199999999995</v>
      </c>
      <c r="E34" s="493">
        <v>19984.079999999998</v>
      </c>
      <c r="F34" s="578">
        <v>24980.1</v>
      </c>
      <c r="G34" s="583">
        <v>0.34</v>
      </c>
      <c r="H34" s="585">
        <v>8000</v>
      </c>
      <c r="I34" s="590">
        <v>7924.5950948778691</v>
      </c>
      <c r="J34" s="590">
        <v>8106</v>
      </c>
      <c r="K34" s="590">
        <v>7574.8641025194656</v>
      </c>
      <c r="L34" s="592">
        <v>8186.8933391466662</v>
      </c>
    </row>
    <row r="35" spans="1:12" ht="40.5" customHeight="1" x14ac:dyDescent="0.25">
      <c r="A35" s="778"/>
      <c r="B35" s="227" t="s">
        <v>220</v>
      </c>
      <c r="C35" s="492">
        <v>600</v>
      </c>
      <c r="D35" s="493">
        <v>4996.0199999999995</v>
      </c>
      <c r="E35" s="493">
        <v>19984.079999999998</v>
      </c>
      <c r="F35" s="578">
        <v>16231.55401011872</v>
      </c>
      <c r="G35" s="583">
        <v>0.25</v>
      </c>
      <c r="H35" s="585">
        <v>6844</v>
      </c>
      <c r="I35" s="590">
        <v>6836.8288465866681</v>
      </c>
      <c r="J35" s="590">
        <v>6972</v>
      </c>
      <c r="K35" s="590">
        <v>6579.6737051466662</v>
      </c>
      <c r="L35" s="592"/>
    </row>
    <row r="36" spans="1:12" ht="40.5" customHeight="1" x14ac:dyDescent="0.25">
      <c r="A36" s="778"/>
      <c r="B36" s="227" t="s">
        <v>32</v>
      </c>
      <c r="C36" s="492">
        <v>450</v>
      </c>
      <c r="D36" s="493">
        <v>4996.0199999999995</v>
      </c>
      <c r="E36" s="493">
        <v>14988.06</v>
      </c>
      <c r="F36" s="578">
        <v>19984.079999999998</v>
      </c>
      <c r="G36" s="583">
        <v>0.63</v>
      </c>
      <c r="H36" s="585">
        <v>9500</v>
      </c>
      <c r="I36" s="590">
        <v>9526.028738195464</v>
      </c>
      <c r="J36" s="590">
        <v>9776</v>
      </c>
      <c r="K36" s="590">
        <v>9040.0055208738631</v>
      </c>
      <c r="L36" s="592">
        <v>9890.5461511866688</v>
      </c>
    </row>
    <row r="37" spans="1:12" ht="40.5" customHeight="1" x14ac:dyDescent="0.25">
      <c r="A37" s="778"/>
      <c r="B37" s="227" t="s">
        <v>237</v>
      </c>
      <c r="C37" s="492">
        <v>450</v>
      </c>
      <c r="D37" s="493">
        <v>4996.0199999999995</v>
      </c>
      <c r="E37" s="493">
        <v>14988.06</v>
      </c>
      <c r="F37" s="578">
        <v>19984.079999999998</v>
      </c>
      <c r="G37" s="583">
        <v>0.49</v>
      </c>
      <c r="H37" s="585">
        <v>8300</v>
      </c>
      <c r="I37" s="590">
        <v>8256.9681151890672</v>
      </c>
      <c r="J37" s="590">
        <v>8453</v>
      </c>
      <c r="K37" s="590">
        <v>7876.442776418935</v>
      </c>
      <c r="L37" s="592">
        <v>8540.4816586266643</v>
      </c>
    </row>
    <row r="38" spans="1:12" ht="40.5" customHeight="1" x14ac:dyDescent="0.25">
      <c r="A38" s="778"/>
      <c r="B38" s="227" t="s">
        <v>234</v>
      </c>
      <c r="C38" s="492">
        <v>300</v>
      </c>
      <c r="D38" s="493">
        <v>4996.0199999999995</v>
      </c>
      <c r="E38" s="493">
        <v>9992.0399999999991</v>
      </c>
      <c r="F38" s="578">
        <v>14988.059999999998</v>
      </c>
      <c r="G38" s="583">
        <v>0.57999999999999996</v>
      </c>
      <c r="H38" s="585">
        <v>7300</v>
      </c>
      <c r="I38" s="590">
        <v>7320.280512493865</v>
      </c>
      <c r="J38" s="590">
        <v>7476</v>
      </c>
      <c r="K38" s="590">
        <v>7021.9805484234648</v>
      </c>
      <c r="L38" s="592">
        <v>7544.005485546666</v>
      </c>
    </row>
    <row r="39" spans="1:12" ht="40.5" customHeight="1" x14ac:dyDescent="0.25">
      <c r="A39" s="778"/>
      <c r="B39" s="227" t="s">
        <v>242</v>
      </c>
      <c r="C39" s="492">
        <v>300</v>
      </c>
      <c r="D39" s="493">
        <v>4996.0199999999995</v>
      </c>
      <c r="E39" s="493">
        <v>9992.0399999999991</v>
      </c>
      <c r="F39" s="578">
        <v>14988.059999999998</v>
      </c>
      <c r="G39" s="583">
        <v>0.55000000000000004</v>
      </c>
      <c r="H39" s="585">
        <v>7100</v>
      </c>
      <c r="I39" s="590">
        <v>7138.9861377786683</v>
      </c>
      <c r="J39" s="590">
        <v>7287</v>
      </c>
      <c r="K39" s="590">
        <v>6831.2441107280001</v>
      </c>
      <c r="L39" s="592">
        <v>7351.1391294666655</v>
      </c>
    </row>
    <row r="40" spans="1:12" ht="40.5" customHeight="1" x14ac:dyDescent="0.25">
      <c r="A40" s="778"/>
      <c r="B40" s="227" t="s">
        <v>235</v>
      </c>
      <c r="C40" s="492">
        <v>300</v>
      </c>
      <c r="D40" s="493">
        <v>4996.0199999999995</v>
      </c>
      <c r="E40" s="493">
        <v>9992.0399999999991</v>
      </c>
      <c r="F40" s="578">
        <v>14988.059999999998</v>
      </c>
      <c r="G40" s="583">
        <v>0.5</v>
      </c>
      <c r="H40" s="585">
        <v>6900</v>
      </c>
      <c r="I40" s="590">
        <v>6836.8288465866681</v>
      </c>
      <c r="J40" s="590">
        <v>6972</v>
      </c>
      <c r="K40" s="590">
        <v>6579.6737051466662</v>
      </c>
      <c r="L40" s="592">
        <v>7029.695202666665</v>
      </c>
    </row>
    <row r="41" spans="1:12" ht="40.5" customHeight="1" x14ac:dyDescent="0.25">
      <c r="A41" s="778"/>
      <c r="B41" s="227" t="s">
        <v>224</v>
      </c>
      <c r="C41" s="492">
        <v>300</v>
      </c>
      <c r="D41" s="493">
        <v>4996.0199999999995</v>
      </c>
      <c r="E41" s="493">
        <v>9992.0399999999991</v>
      </c>
      <c r="F41" s="578">
        <v>14988.059999999998</v>
      </c>
      <c r="G41" s="583">
        <v>0.19</v>
      </c>
      <c r="H41" s="585">
        <v>4900</v>
      </c>
      <c r="I41" s="590">
        <v>4890.514842049598</v>
      </c>
      <c r="J41" s="590">
        <v>4952</v>
      </c>
      <c r="K41" s="590">
        <v>4780.6455676624</v>
      </c>
      <c r="L41" s="592"/>
    </row>
    <row r="42" spans="1:12" ht="40.5" customHeight="1" x14ac:dyDescent="0.25">
      <c r="A42" s="778" t="s">
        <v>29</v>
      </c>
      <c r="B42" s="227" t="s">
        <v>221</v>
      </c>
      <c r="C42" s="492">
        <v>600</v>
      </c>
      <c r="D42" s="493">
        <v>4996.0199999999995</v>
      </c>
      <c r="E42" s="493">
        <v>19984.079999999998</v>
      </c>
      <c r="F42" s="578">
        <v>24980.1</v>
      </c>
      <c r="G42" s="587">
        <v>0.64</v>
      </c>
      <c r="H42" s="585">
        <v>11600</v>
      </c>
      <c r="I42" s="590">
        <v>11550.482589181869</v>
      </c>
      <c r="J42" s="590">
        <v>11886</v>
      </c>
      <c r="K42" s="590">
        <v>10892.16542709547</v>
      </c>
      <c r="L42" s="592">
        <v>12044.220460746665</v>
      </c>
    </row>
    <row r="43" spans="1:12" ht="46.5" customHeight="1" x14ac:dyDescent="0.25">
      <c r="A43" s="778"/>
      <c r="B43" s="227" t="s">
        <v>222</v>
      </c>
      <c r="C43" s="492">
        <v>600</v>
      </c>
      <c r="D43" s="493">
        <v>4996.0199999999995</v>
      </c>
      <c r="E43" s="493">
        <v>19984.079999999998</v>
      </c>
      <c r="F43" s="578">
        <v>24980.1</v>
      </c>
      <c r="G43" s="587">
        <v>0.33</v>
      </c>
      <c r="H43" s="585">
        <v>7900</v>
      </c>
      <c r="I43" s="590">
        <v>7803.7321784010674</v>
      </c>
      <c r="J43" s="590">
        <v>7980</v>
      </c>
      <c r="K43" s="590">
        <v>7464.2873917002662</v>
      </c>
      <c r="L43" s="592">
        <v>8045.9548937600021</v>
      </c>
    </row>
    <row r="44" spans="1:12" ht="40.5" customHeight="1" x14ac:dyDescent="0.25">
      <c r="A44" s="778"/>
      <c r="B44" s="227" t="s">
        <v>32</v>
      </c>
      <c r="C44" s="492">
        <v>450</v>
      </c>
      <c r="D44" s="493">
        <v>4996.0199999999995</v>
      </c>
      <c r="E44" s="493">
        <v>14988.06</v>
      </c>
      <c r="F44" s="578">
        <v>19984.079999999998</v>
      </c>
      <c r="G44" s="583">
        <v>0.56999999999999995</v>
      </c>
      <c r="H44" s="585">
        <v>9000</v>
      </c>
      <c r="I44" s="590">
        <v>8982.1456140498685</v>
      </c>
      <c r="J44" s="590">
        <v>9209</v>
      </c>
      <c r="K44" s="590">
        <v>8542.4103221874648</v>
      </c>
      <c r="L44" s="592">
        <v>9283.537086946666</v>
      </c>
    </row>
    <row r="45" spans="1:12" ht="40.5" customHeight="1" x14ac:dyDescent="0.25">
      <c r="A45" s="778"/>
      <c r="B45" s="227" t="s">
        <v>237</v>
      </c>
      <c r="C45" s="492">
        <v>450</v>
      </c>
      <c r="D45" s="493">
        <v>4996.0199999999995</v>
      </c>
      <c r="E45" s="493">
        <v>14988.06</v>
      </c>
      <c r="F45" s="578">
        <v>19984.079999999998</v>
      </c>
      <c r="G45" s="583">
        <v>0.46</v>
      </c>
      <c r="H45" s="585">
        <v>8000</v>
      </c>
      <c r="I45" s="590">
        <v>7985.0265531162659</v>
      </c>
      <c r="J45" s="590">
        <v>8169</v>
      </c>
      <c r="K45" s="590">
        <v>7630.1524579290672</v>
      </c>
      <c r="L45" s="592">
        <v>8251.182124506664</v>
      </c>
    </row>
    <row r="46" spans="1:12" ht="40.5" customHeight="1" x14ac:dyDescent="0.25">
      <c r="A46" s="778"/>
      <c r="B46" s="227" t="s">
        <v>225</v>
      </c>
      <c r="C46" s="492">
        <v>450</v>
      </c>
      <c r="D46" s="493">
        <v>4996.0199999999995</v>
      </c>
      <c r="E46" s="493">
        <v>14988.06</v>
      </c>
      <c r="F46" s="578">
        <v>19984.079999999998</v>
      </c>
      <c r="G46" s="583">
        <v>0.35</v>
      </c>
      <c r="H46" s="585">
        <v>7000</v>
      </c>
      <c r="I46" s="590">
        <v>6987.907492182665</v>
      </c>
      <c r="J46" s="590">
        <v>7129</v>
      </c>
      <c r="K46" s="590">
        <v>6717.894593670665</v>
      </c>
      <c r="L46" s="592">
        <v>7190.417166066668</v>
      </c>
    </row>
    <row r="47" spans="1:12" ht="40.5" customHeight="1" x14ac:dyDescent="0.25">
      <c r="A47" s="778"/>
      <c r="B47" s="227" t="s">
        <v>243</v>
      </c>
      <c r="C47" s="492">
        <v>450</v>
      </c>
      <c r="D47" s="493">
        <v>4996.0199999999995</v>
      </c>
      <c r="E47" s="493">
        <v>14988.06</v>
      </c>
      <c r="F47" s="578">
        <v>19984.079999999998</v>
      </c>
      <c r="G47" s="583">
        <v>0.32</v>
      </c>
      <c r="H47" s="585">
        <v>6700</v>
      </c>
      <c r="I47" s="590">
        <v>6715.9659301098663</v>
      </c>
      <c r="J47" s="590">
        <v>6846</v>
      </c>
      <c r="K47" s="590">
        <v>6469.096994327464</v>
      </c>
      <c r="L47" s="592">
        <v>6901.1176319466676</v>
      </c>
    </row>
    <row r="48" spans="1:12" ht="40.5" customHeight="1" x14ac:dyDescent="0.25">
      <c r="A48" s="778"/>
      <c r="B48" s="227" t="s">
        <v>226</v>
      </c>
      <c r="C48" s="492">
        <v>200</v>
      </c>
      <c r="D48" s="493">
        <v>4996.0199999999995</v>
      </c>
      <c r="E48" s="493">
        <v>6661.36</v>
      </c>
      <c r="F48" s="578">
        <v>11657.38</v>
      </c>
      <c r="G48" s="583">
        <v>0.74</v>
      </c>
      <c r="H48" s="585">
        <v>6800</v>
      </c>
      <c r="I48" s="590">
        <v>6796.5412077610645</v>
      </c>
      <c r="J48" s="590">
        <v>6930</v>
      </c>
      <c r="K48" s="590">
        <v>6542.8148015402649</v>
      </c>
      <c r="L48" s="592">
        <v>6986.8360124266665</v>
      </c>
    </row>
    <row r="49" spans="1:12" ht="40.5" customHeight="1" x14ac:dyDescent="0.25">
      <c r="A49" s="778"/>
      <c r="B49" s="227" t="s">
        <v>227</v>
      </c>
      <c r="C49" s="492">
        <v>200</v>
      </c>
      <c r="D49" s="493">
        <v>4996.0199999999995</v>
      </c>
      <c r="E49" s="493">
        <v>6661.36</v>
      </c>
      <c r="F49" s="578">
        <v>11657.38</v>
      </c>
      <c r="G49" s="587">
        <v>0.55000000000000004</v>
      </c>
      <c r="H49" s="585">
        <v>6000</v>
      </c>
      <c r="I49" s="590">
        <v>6025.1402412746656</v>
      </c>
      <c r="J49" s="590">
        <v>6132</v>
      </c>
      <c r="K49" s="590">
        <v>5842.4956330186651</v>
      </c>
      <c r="L49" s="592">
        <v>6172.5113978666668</v>
      </c>
    </row>
    <row r="50" spans="1:12" ht="40.5" customHeight="1" x14ac:dyDescent="0.25">
      <c r="A50" s="779" t="s">
        <v>31</v>
      </c>
      <c r="B50" s="504" t="s">
        <v>32</v>
      </c>
      <c r="C50" s="497">
        <v>270</v>
      </c>
      <c r="D50" s="493">
        <v>4996.0199999999995</v>
      </c>
      <c r="E50" s="493">
        <v>8992.8359999999993</v>
      </c>
      <c r="F50" s="578">
        <v>13988.856</v>
      </c>
      <c r="G50" s="583">
        <v>0.64</v>
      </c>
      <c r="H50" s="585">
        <v>7351</v>
      </c>
      <c r="I50" s="590">
        <v>7296.107929198507</v>
      </c>
      <c r="J50" s="590">
        <v>7451</v>
      </c>
      <c r="K50" s="590">
        <v>6988.3991556569599</v>
      </c>
      <c r="L50" s="592">
        <v>7518.2899714026689</v>
      </c>
    </row>
    <row r="51" spans="1:12" ht="40.5" customHeight="1" x14ac:dyDescent="0.25">
      <c r="A51" s="780"/>
      <c r="B51" s="504" t="s">
        <v>225</v>
      </c>
      <c r="C51" s="497">
        <v>270</v>
      </c>
      <c r="D51" s="493">
        <v>4996.0199999999995</v>
      </c>
      <c r="E51" s="493">
        <v>8992.8359999999993</v>
      </c>
      <c r="F51" s="578">
        <v>13988.856</v>
      </c>
      <c r="G51" s="583">
        <v>0.4</v>
      </c>
      <c r="H51" s="585">
        <v>6000</v>
      </c>
      <c r="I51" s="590">
        <v>5990.7884312490669</v>
      </c>
      <c r="J51" s="590">
        <v>6090</v>
      </c>
      <c r="K51" s="590">
        <v>5805.6367294122656</v>
      </c>
      <c r="L51" s="592">
        <v>6129.6522076266656</v>
      </c>
    </row>
    <row r="52" spans="1:12" ht="40.5" customHeight="1" x14ac:dyDescent="0.25">
      <c r="A52" s="780"/>
      <c r="B52" s="504" t="s">
        <v>226</v>
      </c>
      <c r="C52" s="497">
        <v>180</v>
      </c>
      <c r="D52" s="493">
        <v>4996.0199999999995</v>
      </c>
      <c r="E52" s="493">
        <v>5995.2240000000002</v>
      </c>
      <c r="F52" s="578">
        <v>10991.243999999999</v>
      </c>
      <c r="G52" s="583">
        <v>0.63</v>
      </c>
      <c r="H52" s="585">
        <v>6100</v>
      </c>
      <c r="I52" s="590">
        <v>6099.565056078186</v>
      </c>
      <c r="J52" s="590">
        <v>6203</v>
      </c>
      <c r="K52" s="590">
        <v>5905.1557691495473</v>
      </c>
      <c r="L52" s="592">
        <v>6245.3720212746666</v>
      </c>
    </row>
    <row r="53" spans="1:12" ht="40.5" customHeight="1" x14ac:dyDescent="0.25">
      <c r="A53" s="780"/>
      <c r="B53" s="504" t="s">
        <v>227</v>
      </c>
      <c r="C53" s="497">
        <v>180</v>
      </c>
      <c r="D53" s="493">
        <v>4996.0199999999995</v>
      </c>
      <c r="E53" s="493">
        <v>5995.2240000000002</v>
      </c>
      <c r="F53" s="578">
        <v>10991.243999999999</v>
      </c>
      <c r="G53" s="583">
        <v>0.44</v>
      </c>
      <c r="H53" s="585">
        <v>5400</v>
      </c>
      <c r="I53" s="590">
        <v>5393.3113372057587</v>
      </c>
      <c r="J53" s="590">
        <v>5476</v>
      </c>
      <c r="K53" s="590">
        <v>5240.6508717414399</v>
      </c>
      <c r="L53" s="592">
        <v>5507.8066863040003</v>
      </c>
    </row>
    <row r="54" spans="1:12" ht="40.5" customHeight="1" x14ac:dyDescent="0.25">
      <c r="A54" s="780"/>
      <c r="B54" s="504" t="s">
        <v>228</v>
      </c>
      <c r="C54" s="497">
        <v>180</v>
      </c>
      <c r="D54" s="493">
        <v>4996.0199999999995</v>
      </c>
      <c r="E54" s="493">
        <v>5995.2240000000002</v>
      </c>
      <c r="F54" s="578">
        <v>10991.243999999999</v>
      </c>
      <c r="G54" s="583">
        <v>0.1</v>
      </c>
      <c r="H54" s="585">
        <v>3900</v>
      </c>
      <c r="I54" s="590">
        <v>4007.2237019103995</v>
      </c>
      <c r="J54" s="590">
        <v>4031</v>
      </c>
      <c r="K54" s="590">
        <v>3972.5281415775994</v>
      </c>
      <c r="L54" s="592">
        <v>4033.2453721600009</v>
      </c>
    </row>
    <row r="55" spans="1:12" s="564" customFormat="1" ht="49.5" customHeight="1" x14ac:dyDescent="0.25">
      <c r="A55" s="781"/>
      <c r="B55" s="227" t="s">
        <v>199</v>
      </c>
      <c r="C55" s="497">
        <v>125</v>
      </c>
      <c r="D55" s="493">
        <v>3331</v>
      </c>
      <c r="E55" s="493">
        <v>4163</v>
      </c>
      <c r="F55" s="578">
        <v>7494</v>
      </c>
      <c r="G55" s="583">
        <v>0.5</v>
      </c>
      <c r="H55" s="586">
        <v>3800</v>
      </c>
      <c r="I55" s="590">
        <v>3869.6170740000002</v>
      </c>
      <c r="J55" s="590">
        <v>3930</v>
      </c>
      <c r="K55" s="590">
        <v>3749.1565059999998</v>
      </c>
      <c r="L55" s="592"/>
    </row>
    <row r="56" spans="1:12" ht="40.5" customHeight="1" x14ac:dyDescent="0.25">
      <c r="A56" s="782" t="s">
        <v>173</v>
      </c>
      <c r="B56" s="783"/>
      <c r="C56" s="499">
        <v>125</v>
      </c>
      <c r="D56" s="493">
        <v>3330.68</v>
      </c>
      <c r="E56" s="493">
        <v>4163.3499999999995</v>
      </c>
      <c r="F56" s="578">
        <v>7494.0299999999988</v>
      </c>
      <c r="G56" s="583">
        <v>0.41</v>
      </c>
      <c r="H56" s="585">
        <v>3023</v>
      </c>
      <c r="I56" s="590">
        <v>3555.5790641059998</v>
      </c>
      <c r="J56" s="590">
        <v>3664</v>
      </c>
      <c r="K56" s="590">
        <v>3447.2377246973333</v>
      </c>
      <c r="L56" s="592"/>
    </row>
    <row r="57" spans="1:12" ht="40.5" customHeight="1" thickBot="1" x14ac:dyDescent="0.3">
      <c r="A57" s="764" t="s">
        <v>174</v>
      </c>
      <c r="B57" s="765"/>
      <c r="C57" s="580">
        <v>75</v>
      </c>
      <c r="D57" s="581">
        <v>2498.0099999999998</v>
      </c>
      <c r="E57" s="581">
        <v>2498</v>
      </c>
      <c r="F57" s="582">
        <v>4996.01</v>
      </c>
      <c r="G57" s="588">
        <v>0.63</v>
      </c>
      <c r="H57" s="589">
        <v>2822</v>
      </c>
      <c r="I57" s="593">
        <v>2921.7573390399998</v>
      </c>
      <c r="J57" s="593">
        <v>2974</v>
      </c>
      <c r="K57" s="593">
        <v>2830.6818577599993</v>
      </c>
      <c r="L57" s="594"/>
    </row>
  </sheetData>
  <mergeCells count="14">
    <mergeCell ref="A57:B57"/>
    <mergeCell ref="A32:B32"/>
    <mergeCell ref="A1:F1"/>
    <mergeCell ref="A5:B5"/>
    <mergeCell ref="A7:A15"/>
    <mergeCell ref="A16:A24"/>
    <mergeCell ref="A25:A28"/>
    <mergeCell ref="A29:B29"/>
    <mergeCell ref="A4:K4"/>
    <mergeCell ref="A31:L31"/>
    <mergeCell ref="A33:A41"/>
    <mergeCell ref="A42:A49"/>
    <mergeCell ref="A50:A55"/>
    <mergeCell ref="A56:B56"/>
  </mergeCells>
  <pageMargins left="1.1023622047244095" right="0.70866141732283472" top="0.74803149606299213" bottom="0.74803149606299213" header="0.31496062992125984" footer="0.31496062992125984"/>
  <pageSetup paperSize="9" scale="4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"/>
  <sheetViews>
    <sheetView topLeftCell="C4" workbookViewId="0">
      <selection activeCell="H5" sqref="H5"/>
    </sheetView>
  </sheetViews>
  <sheetFormatPr defaultRowHeight="21" x14ac:dyDescent="0.35"/>
  <cols>
    <col min="1" max="1" width="19.7109375" style="202" customWidth="1"/>
    <col min="2" max="2" width="63.28515625" style="130" customWidth="1"/>
    <col min="3" max="3" width="16.28515625" customWidth="1"/>
    <col min="4" max="6" width="20.5703125" customWidth="1"/>
    <col min="7" max="7" width="14" customWidth="1"/>
    <col min="8" max="8" width="17.5703125" customWidth="1"/>
    <col min="9" max="9" width="18.28515625" customWidth="1"/>
    <col min="10" max="10" width="24.42578125" customWidth="1"/>
    <col min="11" max="11" width="22.85546875" customWidth="1"/>
    <col min="12" max="14" width="22.85546875" hidden="1" customWidth="1"/>
    <col min="15" max="15" width="26" hidden="1" customWidth="1"/>
    <col min="16" max="16" width="13.28515625" style="130" customWidth="1"/>
    <col min="17" max="17" width="16.140625" style="130" bestFit="1" customWidth="1"/>
    <col min="18" max="18" width="14.140625" style="130" bestFit="1" customWidth="1"/>
    <col min="19" max="20" width="16.140625" style="130" bestFit="1" customWidth="1"/>
    <col min="21" max="21" width="14.140625" style="130" bestFit="1" customWidth="1"/>
    <col min="22" max="23" width="16.140625" style="130" bestFit="1" customWidth="1"/>
    <col min="24" max="24" width="14.140625" style="130" bestFit="1" customWidth="1"/>
    <col min="25" max="26" width="16.140625" style="130" bestFit="1" customWidth="1"/>
    <col min="27" max="27" width="14.140625" style="130" bestFit="1" customWidth="1"/>
    <col min="28" max="29" width="16.140625" style="130" bestFit="1" customWidth="1"/>
    <col min="30" max="30" width="14.140625" style="130" bestFit="1" customWidth="1"/>
    <col min="31" max="31" width="16.140625" style="130" bestFit="1" customWidth="1"/>
    <col min="32" max="32" width="17.7109375" style="130" bestFit="1" customWidth="1"/>
    <col min="33" max="33" width="14.140625" style="130" bestFit="1" customWidth="1"/>
    <col min="34" max="34" width="16.140625" style="130" bestFit="1" customWidth="1"/>
    <col min="35" max="35" width="17.7109375" style="130" bestFit="1" customWidth="1"/>
    <col min="36" max="36" width="14.140625" style="130" bestFit="1" customWidth="1"/>
    <col min="37" max="37" width="16.140625" style="130" bestFit="1" customWidth="1"/>
    <col min="38" max="38" width="17.7109375" style="130" bestFit="1" customWidth="1"/>
    <col min="39" max="39" width="18.7109375" style="130" customWidth="1"/>
    <col min="40" max="40" width="16.140625" style="130" bestFit="1" customWidth="1"/>
    <col min="41" max="41" width="17.7109375" style="130" bestFit="1" customWidth="1"/>
    <col min="42" max="42" width="14.140625" style="130" bestFit="1" customWidth="1"/>
    <col min="43" max="43" width="16.140625" style="130" bestFit="1" customWidth="1"/>
    <col min="44" max="44" width="17.7109375" style="130" bestFit="1" customWidth="1"/>
    <col min="45" max="45" width="14.140625" style="130" bestFit="1" customWidth="1"/>
    <col min="46" max="46" width="16.140625" style="130" bestFit="1" customWidth="1"/>
    <col min="47" max="47" width="17.7109375" style="130" bestFit="1" customWidth="1"/>
    <col min="48" max="48" width="14.140625" style="130" bestFit="1" customWidth="1"/>
    <col min="49" max="49" width="16.140625" style="130" bestFit="1" customWidth="1"/>
    <col min="50" max="50" width="17.7109375" style="130" bestFit="1" customWidth="1"/>
    <col min="51" max="51" width="14.140625" style="130" bestFit="1" customWidth="1"/>
    <col min="52" max="52" width="16.140625" style="130" bestFit="1" customWidth="1"/>
    <col min="53" max="53" width="19.7109375" bestFit="1" customWidth="1"/>
    <col min="55" max="55" width="17.85546875" bestFit="1" customWidth="1"/>
  </cols>
  <sheetData>
    <row r="1" spans="1:55" ht="28.5" hidden="1" customHeight="1" x14ac:dyDescent="0.35">
      <c r="A1" s="660" t="s">
        <v>196</v>
      </c>
      <c r="B1" s="660"/>
      <c r="C1" s="660"/>
      <c r="D1" s="660"/>
      <c r="E1" s="660"/>
      <c r="F1" s="660"/>
    </row>
    <row r="2" spans="1:55" ht="24" hidden="1" thickBot="1" x14ac:dyDescent="0.4">
      <c r="A2" s="192"/>
      <c r="B2" s="2"/>
      <c r="C2" s="2"/>
      <c r="D2" s="2"/>
      <c r="E2" s="2"/>
      <c r="F2" s="2"/>
      <c r="K2" s="385"/>
      <c r="L2" s="385"/>
      <c r="M2" s="385"/>
      <c r="N2" s="385"/>
      <c r="O2" s="385"/>
    </row>
    <row r="3" spans="1:55" ht="27" hidden="1" thickBot="1" x14ac:dyDescent="0.4">
      <c r="A3" s="236" t="s">
        <v>1</v>
      </c>
      <c r="B3" s="4"/>
      <c r="C3" s="4"/>
      <c r="D3" s="4"/>
      <c r="E3" s="4"/>
      <c r="F3" s="4"/>
    </row>
    <row r="4" spans="1:55" ht="65.25" customHeight="1" x14ac:dyDescent="0.25">
      <c r="A4" s="726" t="s">
        <v>2</v>
      </c>
      <c r="B4" s="726"/>
      <c r="C4" s="575" t="s">
        <v>3</v>
      </c>
      <c r="D4" s="575" t="s">
        <v>229</v>
      </c>
      <c r="E4" s="575" t="s">
        <v>253</v>
      </c>
      <c r="F4" s="575" t="s">
        <v>231</v>
      </c>
      <c r="G4" s="395" t="s">
        <v>244</v>
      </c>
      <c r="H4" s="395" t="s">
        <v>249</v>
      </c>
      <c r="I4" s="352" t="s">
        <v>37</v>
      </c>
      <c r="J4" s="364" t="s">
        <v>279</v>
      </c>
      <c r="K4" s="364" t="s">
        <v>280</v>
      </c>
      <c r="L4" s="389"/>
      <c r="M4" s="389"/>
      <c r="N4" s="389"/>
      <c r="O4" s="389" t="s">
        <v>283</v>
      </c>
      <c r="P4" s="365" t="s">
        <v>245</v>
      </c>
      <c r="Q4" s="365">
        <v>1</v>
      </c>
      <c r="R4" s="365" t="s">
        <v>255</v>
      </c>
      <c r="S4" s="365" t="s">
        <v>267</v>
      </c>
      <c r="T4" s="365">
        <v>2</v>
      </c>
      <c r="U4" s="365" t="s">
        <v>256</v>
      </c>
      <c r="V4" s="365" t="s">
        <v>268</v>
      </c>
      <c r="W4" s="365">
        <v>3</v>
      </c>
      <c r="X4" s="365" t="s">
        <v>257</v>
      </c>
      <c r="Y4" s="365" t="s">
        <v>278</v>
      </c>
      <c r="Z4" s="365">
        <v>4</v>
      </c>
      <c r="AA4" s="365" t="s">
        <v>258</v>
      </c>
      <c r="AB4" s="365" t="s">
        <v>277</v>
      </c>
      <c r="AC4" s="365">
        <v>5</v>
      </c>
      <c r="AD4" s="365" t="s">
        <v>259</v>
      </c>
      <c r="AE4" s="365" t="s">
        <v>276</v>
      </c>
      <c r="AF4" s="365">
        <v>6</v>
      </c>
      <c r="AG4" s="365" t="s">
        <v>260</v>
      </c>
      <c r="AH4" s="365" t="s">
        <v>275</v>
      </c>
      <c r="AI4" s="365">
        <v>7</v>
      </c>
      <c r="AJ4" s="365" t="s">
        <v>261</v>
      </c>
      <c r="AK4" s="365" t="s">
        <v>274</v>
      </c>
      <c r="AL4" s="365">
        <v>8</v>
      </c>
      <c r="AM4" s="365" t="s">
        <v>262</v>
      </c>
      <c r="AN4" s="365" t="s">
        <v>273</v>
      </c>
      <c r="AO4" s="365">
        <v>9</v>
      </c>
      <c r="AP4" s="365" t="s">
        <v>263</v>
      </c>
      <c r="AQ4" s="365" t="s">
        <v>272</v>
      </c>
      <c r="AR4" s="365">
        <v>10</v>
      </c>
      <c r="AS4" s="365" t="s">
        <v>264</v>
      </c>
      <c r="AT4" s="365" t="s">
        <v>271</v>
      </c>
      <c r="AU4" s="365">
        <v>11</v>
      </c>
      <c r="AV4" s="365" t="s">
        <v>265</v>
      </c>
      <c r="AW4" s="365" t="s">
        <v>270</v>
      </c>
      <c r="AX4" s="365">
        <v>12</v>
      </c>
      <c r="AY4" s="366" t="s">
        <v>266</v>
      </c>
      <c r="AZ4" s="366" t="s">
        <v>269</v>
      </c>
    </row>
    <row r="5" spans="1:55" s="233" customFormat="1" ht="33.75" customHeight="1" x14ac:dyDescent="0.45">
      <c r="A5" s="229"/>
      <c r="B5" s="346"/>
      <c r="C5" s="231"/>
      <c r="D5" s="231"/>
      <c r="E5" s="231"/>
      <c r="F5" s="231"/>
      <c r="H5" s="357">
        <v>1</v>
      </c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1"/>
    </row>
    <row r="6" spans="1:55" s="233" customFormat="1" ht="30" customHeight="1" x14ac:dyDescent="0.45">
      <c r="A6" s="727" t="s">
        <v>11</v>
      </c>
      <c r="B6" s="347" t="s">
        <v>212</v>
      </c>
      <c r="C6" s="283">
        <v>550</v>
      </c>
      <c r="D6" s="238">
        <v>6661</v>
      </c>
      <c r="E6" s="238">
        <v>18318.739999999998</v>
      </c>
      <c r="F6" s="238">
        <f>D6+E6</f>
        <v>24979.739999999998</v>
      </c>
      <c r="G6" s="233">
        <v>359</v>
      </c>
      <c r="H6" s="353">
        <f>D6+E6*$H$5*$I6-G6</f>
        <v>19125.117999999999</v>
      </c>
      <c r="I6" s="463">
        <v>0.7</v>
      </c>
      <c r="J6" s="362">
        <v>12600</v>
      </c>
      <c r="K6" s="361">
        <f>((S6+V6+Y6+AB6+AE6+AH6+AK6+AN6+AQ6+AT6+AW6+AZ6)/12)+60</f>
        <v>13136.898187866669</v>
      </c>
      <c r="L6" s="390">
        <v>12559.370599382668</v>
      </c>
      <c r="M6" s="390">
        <f>L6-K6</f>
        <v>-577.52758848400117</v>
      </c>
      <c r="N6" s="390"/>
      <c r="O6" s="390">
        <f t="shared" ref="O6:O28" si="0">K6/0.93</f>
        <v>14125.696976200719</v>
      </c>
      <c r="P6" s="372">
        <f t="shared" ref="P6:P28" si="1">(H6+G6)*0.0066</f>
        <v>128.59517879999999</v>
      </c>
      <c r="Q6" s="373">
        <f>H6*1</f>
        <v>19125.117999999999</v>
      </c>
      <c r="R6" s="374">
        <f>(Q6-10000)*0.2+10000*0.15</f>
        <v>3325.0235999999995</v>
      </c>
      <c r="S6" s="373">
        <f>H6-P6-R6</f>
        <v>15671.4992212</v>
      </c>
      <c r="T6" s="373">
        <f>H6*2</f>
        <v>38250.235999999997</v>
      </c>
      <c r="U6" s="376">
        <f>(T6-25000)*0.27+4500-R6</f>
        <v>4752.5401200000006</v>
      </c>
      <c r="V6" s="373">
        <f t="shared" ref="V6:V28" si="2">H6-P6-U6</f>
        <v>14243.982701199999</v>
      </c>
      <c r="W6" s="373">
        <f t="shared" ref="W6:W28" si="3">H6*3</f>
        <v>57375.353999999992</v>
      </c>
      <c r="X6" s="376">
        <f>Q6*0.27</f>
        <v>5163.7818600000001</v>
      </c>
      <c r="Y6" s="373">
        <f t="shared" ref="Y6:Y28" si="4">H6-P6-X6</f>
        <v>13832.740961200001</v>
      </c>
      <c r="Z6" s="373">
        <f t="shared" ref="Z6:Z28" si="5">H6*4</f>
        <v>76500.471999999994</v>
      </c>
      <c r="AA6" s="376">
        <f t="shared" ref="AA6:AA22" si="6">H6*0.27</f>
        <v>5163.7818600000001</v>
      </c>
      <c r="AB6" s="373">
        <f>H6-P6-AA6</f>
        <v>13832.740961200001</v>
      </c>
      <c r="AC6" s="373">
        <f>H6*5</f>
        <v>95625.59</v>
      </c>
      <c r="AD6" s="376">
        <f t="shared" ref="AD6:AD24" si="7">H6*0.27</f>
        <v>5163.7818600000001</v>
      </c>
      <c r="AE6" s="373">
        <f>H6-P6-AD6</f>
        <v>13832.740961200001</v>
      </c>
      <c r="AF6" s="373">
        <f>H6*6</f>
        <v>114750.70799999998</v>
      </c>
      <c r="AG6" s="377">
        <f>(AF6-88000)*0.35+(88000-AC6)*0.27</f>
        <v>7303.8384999999944</v>
      </c>
      <c r="AH6" s="373">
        <f>H6-P6-AG6</f>
        <v>11692.684321200006</v>
      </c>
      <c r="AI6" s="373">
        <f>H6*7</f>
        <v>133875.826</v>
      </c>
      <c r="AJ6" s="377">
        <f>H6*0.35</f>
        <v>6693.791299999999</v>
      </c>
      <c r="AK6" s="373">
        <f>H6-P6-AJ6</f>
        <v>12302.731521200001</v>
      </c>
      <c r="AL6" s="373">
        <f t="shared" ref="AL6:AL28" si="8">H6*8</f>
        <v>153000.94399999999</v>
      </c>
      <c r="AM6" s="377">
        <f>H6*0.35</f>
        <v>6693.791299999999</v>
      </c>
      <c r="AN6" s="373">
        <f>H6-P6-AM6</f>
        <v>12302.731521200001</v>
      </c>
      <c r="AO6" s="373">
        <f>H6*9</f>
        <v>172126.06199999998</v>
      </c>
      <c r="AP6" s="377">
        <f>H6*0.35</f>
        <v>6693.791299999999</v>
      </c>
      <c r="AQ6" s="373">
        <f>H6-P6-AP6</f>
        <v>12302.731521200001</v>
      </c>
      <c r="AR6" s="373">
        <f>H6*10</f>
        <v>191251.18</v>
      </c>
      <c r="AS6" s="377">
        <f t="shared" ref="AS6:AS11" si="9">H6*0.35</f>
        <v>6693.791299999999</v>
      </c>
      <c r="AT6" s="373">
        <f>H6-P6-AS6</f>
        <v>12302.731521200001</v>
      </c>
      <c r="AU6" s="373">
        <f>H6*11</f>
        <v>210376.29799999998</v>
      </c>
      <c r="AV6" s="377">
        <f t="shared" ref="AV6:AV22" si="10">H6*0.35</f>
        <v>6693.791299999999</v>
      </c>
      <c r="AW6" s="373">
        <f t="shared" ref="AW6:AW28" si="11">H6-P6-AV6</f>
        <v>12302.731521200001</v>
      </c>
      <c r="AX6" s="373">
        <f t="shared" ref="AX6:AX28" si="12">H6*12</f>
        <v>229501.41599999997</v>
      </c>
      <c r="AY6" s="377">
        <f t="shared" ref="AY6:AY22" si="13">H6*0.35</f>
        <v>6693.791299999999</v>
      </c>
      <c r="AZ6" s="373">
        <f>H6-P6-AY6</f>
        <v>12302.731521200001</v>
      </c>
      <c r="BA6" s="371"/>
      <c r="BC6" s="358"/>
    </row>
    <row r="7" spans="1:55" s="233" customFormat="1" ht="30" customHeight="1" x14ac:dyDescent="0.45">
      <c r="A7" s="728"/>
      <c r="B7" s="347" t="s">
        <v>211</v>
      </c>
      <c r="C7" s="283">
        <v>550</v>
      </c>
      <c r="D7" s="238">
        <v>6661</v>
      </c>
      <c r="E7" s="238">
        <v>18318.739999999998</v>
      </c>
      <c r="F7" s="238">
        <f>D7+E7</f>
        <v>24979.739999999998</v>
      </c>
      <c r="G7" s="233">
        <v>359</v>
      </c>
      <c r="H7" s="353">
        <f>D7+E7*$H$5*$I7-G7</f>
        <v>12347.1842</v>
      </c>
      <c r="I7" s="363">
        <v>0.33</v>
      </c>
      <c r="J7" s="362">
        <v>8500</v>
      </c>
      <c r="K7" s="361">
        <f t="shared" ref="K7:K54" si="14">((S7+V7+Y7+AB7+AE7+AH7+AK7+AN7+AQ7+AT7+AW7+AZ7)/12)+60</f>
        <v>8775.9755809466678</v>
      </c>
      <c r="L7" s="390">
        <v>8503.712574947067</v>
      </c>
      <c r="M7" s="390">
        <f t="shared" ref="M7:M28" si="15">L7-K7</f>
        <v>-272.26300599960086</v>
      </c>
      <c r="N7" s="390"/>
      <c r="O7" s="390">
        <f t="shared" si="0"/>
        <v>9436.5328827383528</v>
      </c>
      <c r="P7" s="372">
        <f t="shared" si="1"/>
        <v>83.860815719999991</v>
      </c>
      <c r="Q7" s="373">
        <f t="shared" ref="Q7:Q28" si="16">H7*1</f>
        <v>12347.1842</v>
      </c>
      <c r="R7" s="374">
        <f>(Q7-10000)*0.2+1500</f>
        <v>1969.4368399999998</v>
      </c>
      <c r="S7" s="373">
        <f t="shared" ref="S7:S28" si="17">H7-P7-R7</f>
        <v>10293.88654428</v>
      </c>
      <c r="T7" s="373">
        <f t="shared" ref="T7:T28" si="18">H7*2</f>
        <v>24694.368399999999</v>
      </c>
      <c r="U7" s="374">
        <f>H7*0.2</f>
        <v>2469.4368400000003</v>
      </c>
      <c r="V7" s="373">
        <f t="shared" si="2"/>
        <v>9793.8865442799997</v>
      </c>
      <c r="W7" s="373">
        <f t="shared" si="3"/>
        <v>37041.552599999995</v>
      </c>
      <c r="X7" s="376">
        <f>(25000-T7)*0.2+(W7-25000)*0.27</f>
        <v>3312.3455219999992</v>
      </c>
      <c r="Y7" s="373">
        <f t="shared" si="4"/>
        <v>8950.9778622800004</v>
      </c>
      <c r="Z7" s="373">
        <f t="shared" si="5"/>
        <v>49388.736799999999</v>
      </c>
      <c r="AA7" s="376">
        <f t="shared" si="6"/>
        <v>3333.7397340000002</v>
      </c>
      <c r="AB7" s="373">
        <f t="shared" ref="AB7:AB28" si="19">H7-P7-AA7</f>
        <v>8929.5836502799993</v>
      </c>
      <c r="AC7" s="373">
        <f t="shared" ref="AC7:AC28" si="20">H7*5</f>
        <v>61735.921000000002</v>
      </c>
      <c r="AD7" s="376">
        <f t="shared" si="7"/>
        <v>3333.7397340000002</v>
      </c>
      <c r="AE7" s="373">
        <f t="shared" ref="AE7:AE28" si="21">H7-P7-AD7</f>
        <v>8929.5836502799993</v>
      </c>
      <c r="AF7" s="373">
        <f t="shared" ref="AF7:AF28" si="22">H7*6</f>
        <v>74083.105199999991</v>
      </c>
      <c r="AG7" s="376">
        <f t="shared" ref="AG7:AG14" si="23">H7*0.27</f>
        <v>3333.7397340000002</v>
      </c>
      <c r="AH7" s="373">
        <f t="shared" ref="AH7:AH28" si="24">H7-P7-AG7</f>
        <v>8929.5836502799993</v>
      </c>
      <c r="AI7" s="373">
        <f t="shared" ref="AI7:AI28" si="25">H7*7</f>
        <v>86430.289399999994</v>
      </c>
      <c r="AJ7" s="376">
        <f>H7*0.27</f>
        <v>3333.7397340000002</v>
      </c>
      <c r="AK7" s="373">
        <f t="shared" ref="AK7:AK28" si="26">H7-P7-AJ7</f>
        <v>8929.5836502799993</v>
      </c>
      <c r="AL7" s="373">
        <f t="shared" si="8"/>
        <v>98777.473599999998</v>
      </c>
      <c r="AM7" s="377">
        <f>(AL7-88000)*0.35+(88000-AI7)*0.27</f>
        <v>4195.9376220000004</v>
      </c>
      <c r="AN7" s="373">
        <f t="shared" ref="AN7:AN28" si="27">H7-P7-AM7</f>
        <v>8067.3857622799997</v>
      </c>
      <c r="AO7" s="373">
        <f t="shared" ref="AO7:AO28" si="28">H7*9</f>
        <v>111124.6578</v>
      </c>
      <c r="AP7" s="377">
        <f>H7*0.35</f>
        <v>4321.5144699999992</v>
      </c>
      <c r="AQ7" s="373">
        <f t="shared" ref="AQ7:AQ28" si="29">H7-P7-AP7</f>
        <v>7941.8089142800009</v>
      </c>
      <c r="AR7" s="373">
        <f t="shared" ref="AR7:AR28" si="30">H7*10</f>
        <v>123471.842</v>
      </c>
      <c r="AS7" s="377">
        <f t="shared" si="9"/>
        <v>4321.5144699999992</v>
      </c>
      <c r="AT7" s="373">
        <f t="shared" ref="AT7:AT28" si="31">H7-P7-AS7</f>
        <v>7941.8089142800009</v>
      </c>
      <c r="AU7" s="373">
        <f t="shared" ref="AU7:AU28" si="32">H7*11</f>
        <v>135819.02619999999</v>
      </c>
      <c r="AV7" s="377">
        <f t="shared" si="10"/>
        <v>4321.5144699999992</v>
      </c>
      <c r="AW7" s="373">
        <f t="shared" si="11"/>
        <v>7941.8089142800009</v>
      </c>
      <c r="AX7" s="373">
        <f t="shared" si="12"/>
        <v>148166.21039999998</v>
      </c>
      <c r="AY7" s="377">
        <f t="shared" si="13"/>
        <v>4321.5144699999992</v>
      </c>
      <c r="AZ7" s="373">
        <f t="shared" ref="AZ7:AZ28" si="33">H7-P7-AY7</f>
        <v>7941.8089142800009</v>
      </c>
      <c r="BA7" s="371"/>
      <c r="BC7" s="358"/>
    </row>
    <row r="8" spans="1:55" s="233" customFormat="1" ht="30" customHeight="1" x14ac:dyDescent="0.45">
      <c r="A8" s="728"/>
      <c r="B8" s="574" t="s">
        <v>213</v>
      </c>
      <c r="C8" s="231">
        <v>550</v>
      </c>
      <c r="D8" s="238">
        <v>6661</v>
      </c>
      <c r="E8" s="234">
        <v>18318.739999999998</v>
      </c>
      <c r="F8" s="234">
        <f>D8+E8</f>
        <v>24979.739999999998</v>
      </c>
      <c r="G8" s="233">
        <v>359</v>
      </c>
      <c r="H8" s="353">
        <f t="shared" ref="H8:H28" si="34">D8+E8*$H$5*$I8-G8</f>
        <v>9965.7479999999996</v>
      </c>
      <c r="I8" s="363">
        <v>0.2</v>
      </c>
      <c r="J8" s="362">
        <v>7066</v>
      </c>
      <c r="K8" s="361">
        <f t="shared" si="14"/>
        <v>7255.0377431999996</v>
      </c>
      <c r="L8" s="390">
        <v>7078.7516474426657</v>
      </c>
      <c r="M8" s="390">
        <f t="shared" si="15"/>
        <v>-176.2860957573339</v>
      </c>
      <c r="N8" s="390"/>
      <c r="O8" s="390">
        <f t="shared" si="0"/>
        <v>7801.1158529032245</v>
      </c>
      <c r="P8" s="372">
        <f t="shared" si="1"/>
        <v>68.1433368</v>
      </c>
      <c r="Q8" s="373">
        <f t="shared" si="16"/>
        <v>9965.7479999999996</v>
      </c>
      <c r="R8" s="378">
        <f>H8*0.15</f>
        <v>1494.8621999999998</v>
      </c>
      <c r="S8" s="373">
        <f t="shared" si="17"/>
        <v>8402.7424632000002</v>
      </c>
      <c r="T8" s="373">
        <f t="shared" si="18"/>
        <v>19931.495999999999</v>
      </c>
      <c r="U8" s="376">
        <f t="shared" ref="U8" si="35">(T8-10000)*0.2+(10000-Q8)*0.15</f>
        <v>1991.4369999999999</v>
      </c>
      <c r="V8" s="373">
        <f t="shared" si="2"/>
        <v>7906.1676631999999</v>
      </c>
      <c r="W8" s="373">
        <f t="shared" si="3"/>
        <v>29897.243999999999</v>
      </c>
      <c r="X8" s="376">
        <f>(W8-25000)*0.27+(25000-T8)*0.2</f>
        <v>2335.9566799999998</v>
      </c>
      <c r="Y8" s="373">
        <f t="shared" si="4"/>
        <v>7561.6479832000005</v>
      </c>
      <c r="Z8" s="373">
        <f t="shared" si="5"/>
        <v>39862.991999999998</v>
      </c>
      <c r="AA8" s="376">
        <f t="shared" si="6"/>
        <v>2690.7519600000001</v>
      </c>
      <c r="AB8" s="373">
        <f t="shared" si="19"/>
        <v>7206.8527032000002</v>
      </c>
      <c r="AC8" s="373">
        <f t="shared" si="20"/>
        <v>49828.74</v>
      </c>
      <c r="AD8" s="376">
        <f t="shared" si="7"/>
        <v>2690.7519600000001</v>
      </c>
      <c r="AE8" s="373">
        <f t="shared" si="21"/>
        <v>7206.8527032000002</v>
      </c>
      <c r="AF8" s="373">
        <f t="shared" si="22"/>
        <v>59794.487999999998</v>
      </c>
      <c r="AG8" s="376">
        <f t="shared" si="23"/>
        <v>2690.7519600000001</v>
      </c>
      <c r="AH8" s="373">
        <f t="shared" si="24"/>
        <v>7206.8527032000002</v>
      </c>
      <c r="AI8" s="373">
        <f t="shared" si="25"/>
        <v>69760.236000000004</v>
      </c>
      <c r="AJ8" s="376">
        <f>H8*0.27</f>
        <v>2690.7519600000001</v>
      </c>
      <c r="AK8" s="373">
        <f t="shared" si="26"/>
        <v>7206.8527032000002</v>
      </c>
      <c r="AL8" s="373">
        <f t="shared" si="8"/>
        <v>79725.983999999997</v>
      </c>
      <c r="AM8" s="376">
        <f>H8*0.27</f>
        <v>2690.7519600000001</v>
      </c>
      <c r="AN8" s="373">
        <f t="shared" si="27"/>
        <v>7206.8527032000002</v>
      </c>
      <c r="AO8" s="373">
        <f t="shared" si="28"/>
        <v>89691.731999999989</v>
      </c>
      <c r="AP8" s="376">
        <f>H8*0.27</f>
        <v>2690.7519600000001</v>
      </c>
      <c r="AQ8" s="373">
        <f t="shared" si="29"/>
        <v>7206.8527032000002</v>
      </c>
      <c r="AR8" s="373">
        <f t="shared" si="30"/>
        <v>99657.48</v>
      </c>
      <c r="AS8" s="377">
        <f t="shared" si="9"/>
        <v>3488.0117999999998</v>
      </c>
      <c r="AT8" s="373">
        <f t="shared" si="31"/>
        <v>6409.5928631999996</v>
      </c>
      <c r="AU8" s="373">
        <f t="shared" si="32"/>
        <v>109623.228</v>
      </c>
      <c r="AV8" s="377">
        <f t="shared" si="10"/>
        <v>3488.0117999999998</v>
      </c>
      <c r="AW8" s="373">
        <f t="shared" si="11"/>
        <v>6409.5928631999996</v>
      </c>
      <c r="AX8" s="373">
        <f t="shared" si="12"/>
        <v>119588.976</v>
      </c>
      <c r="AY8" s="377">
        <f t="shared" si="13"/>
        <v>3488.0117999999998</v>
      </c>
      <c r="AZ8" s="373">
        <f t="shared" si="33"/>
        <v>6409.5928631999996</v>
      </c>
      <c r="BA8" s="371"/>
      <c r="BC8" s="358"/>
    </row>
    <row r="9" spans="1:55" s="233" customFormat="1" ht="30" customHeight="1" x14ac:dyDescent="0.45">
      <c r="A9" s="728"/>
      <c r="B9" s="347" t="s">
        <v>32</v>
      </c>
      <c r="C9" s="283">
        <v>400</v>
      </c>
      <c r="D9" s="238">
        <v>6661</v>
      </c>
      <c r="E9" s="238">
        <v>13322.72</v>
      </c>
      <c r="F9" s="238">
        <f t="shared" ref="F9:F19" si="36">D9+E9</f>
        <v>19983.72</v>
      </c>
      <c r="G9" s="233">
        <v>359</v>
      </c>
      <c r="H9" s="353">
        <f t="shared" si="34"/>
        <v>14695.313599999999</v>
      </c>
      <c r="I9" s="363">
        <v>0.63</v>
      </c>
      <c r="J9" s="362">
        <v>9900</v>
      </c>
      <c r="K9" s="361">
        <f t="shared" si="14"/>
        <v>10286.762036906666</v>
      </c>
      <c r="L9" s="390">
        <v>9908.743978989869</v>
      </c>
      <c r="M9" s="390">
        <f t="shared" si="15"/>
        <v>-378.01805791679726</v>
      </c>
      <c r="N9" s="390"/>
      <c r="O9" s="390">
        <f t="shared" si="0"/>
        <v>11061.034448286737</v>
      </c>
      <c r="P9" s="372">
        <f t="shared" si="1"/>
        <v>99.358469759999991</v>
      </c>
      <c r="Q9" s="373">
        <f t="shared" si="16"/>
        <v>14695.313599999999</v>
      </c>
      <c r="R9" s="374">
        <f t="shared" ref="R9:R19" si="37">(Q9-10000)*0.2+10000*0.15</f>
        <v>2439.0627199999999</v>
      </c>
      <c r="S9" s="373">
        <f t="shared" si="17"/>
        <v>12156.89241024</v>
      </c>
      <c r="T9" s="373">
        <f t="shared" si="18"/>
        <v>29390.627199999999</v>
      </c>
      <c r="U9" s="376">
        <f>(T9-25000)*0.27+(25000-Q9)*0.2</f>
        <v>3246.4066240000002</v>
      </c>
      <c r="V9" s="373">
        <f t="shared" si="2"/>
        <v>11349.54850624</v>
      </c>
      <c r="W9" s="373">
        <f t="shared" si="3"/>
        <v>44085.940799999997</v>
      </c>
      <c r="X9" s="376">
        <f t="shared" ref="X9" si="38">Q9*0.27</f>
        <v>3967.734672</v>
      </c>
      <c r="Y9" s="373">
        <f t="shared" si="4"/>
        <v>10628.220458239999</v>
      </c>
      <c r="Z9" s="373">
        <f t="shared" si="5"/>
        <v>58781.254399999998</v>
      </c>
      <c r="AA9" s="376">
        <f t="shared" si="6"/>
        <v>3967.734672</v>
      </c>
      <c r="AB9" s="373">
        <f t="shared" si="19"/>
        <v>10628.220458239999</v>
      </c>
      <c r="AC9" s="373">
        <f t="shared" si="20"/>
        <v>73476.567999999999</v>
      </c>
      <c r="AD9" s="376">
        <f t="shared" si="7"/>
        <v>3967.734672</v>
      </c>
      <c r="AE9" s="373">
        <f t="shared" si="21"/>
        <v>10628.220458239999</v>
      </c>
      <c r="AF9" s="373">
        <f t="shared" si="22"/>
        <v>88171.881599999993</v>
      </c>
      <c r="AG9" s="376">
        <f t="shared" si="23"/>
        <v>3967.734672</v>
      </c>
      <c r="AH9" s="373">
        <f t="shared" si="24"/>
        <v>10628.220458239999</v>
      </c>
      <c r="AI9" s="373">
        <f t="shared" si="25"/>
        <v>102867.1952</v>
      </c>
      <c r="AJ9" s="377">
        <f>(AI9-88000)*0.35+(88000-AF9)*0.27</f>
        <v>5157.1102880000017</v>
      </c>
      <c r="AK9" s="373">
        <f t="shared" si="26"/>
        <v>9438.8448422399979</v>
      </c>
      <c r="AL9" s="373">
        <f t="shared" si="8"/>
        <v>117562.5088</v>
      </c>
      <c r="AM9" s="377">
        <f>H9*0.35</f>
        <v>5143.3597599999994</v>
      </c>
      <c r="AN9" s="373">
        <f t="shared" si="27"/>
        <v>9452.5953702400002</v>
      </c>
      <c r="AO9" s="373">
        <f t="shared" si="28"/>
        <v>132257.8224</v>
      </c>
      <c r="AP9" s="377">
        <f>H9*0.35</f>
        <v>5143.3597599999994</v>
      </c>
      <c r="AQ9" s="373">
        <f t="shared" si="29"/>
        <v>9452.5953702400002</v>
      </c>
      <c r="AR9" s="373">
        <f t="shared" si="30"/>
        <v>146953.136</v>
      </c>
      <c r="AS9" s="377">
        <f t="shared" si="9"/>
        <v>5143.3597599999994</v>
      </c>
      <c r="AT9" s="373">
        <f t="shared" si="31"/>
        <v>9452.5953702400002</v>
      </c>
      <c r="AU9" s="373">
        <f t="shared" si="32"/>
        <v>161648.44959999999</v>
      </c>
      <c r="AV9" s="377">
        <f t="shared" si="10"/>
        <v>5143.3597599999994</v>
      </c>
      <c r="AW9" s="373">
        <f t="shared" si="11"/>
        <v>9452.5953702400002</v>
      </c>
      <c r="AX9" s="373">
        <f t="shared" si="12"/>
        <v>176343.76319999999</v>
      </c>
      <c r="AY9" s="377">
        <f t="shared" si="13"/>
        <v>5143.3597599999994</v>
      </c>
      <c r="AZ9" s="373">
        <f t="shared" si="33"/>
        <v>9452.5953702400002</v>
      </c>
      <c r="BA9" s="371"/>
      <c r="BC9" s="358"/>
    </row>
    <row r="10" spans="1:55" s="233" customFormat="1" ht="30" customHeight="1" x14ac:dyDescent="0.45">
      <c r="A10" s="728"/>
      <c r="B10" s="347" t="s">
        <v>233</v>
      </c>
      <c r="C10" s="283">
        <v>400</v>
      </c>
      <c r="D10" s="238">
        <v>6661</v>
      </c>
      <c r="E10" s="238">
        <v>13322.72</v>
      </c>
      <c r="F10" s="238">
        <f t="shared" si="36"/>
        <v>19983.72</v>
      </c>
      <c r="G10" s="233">
        <v>359</v>
      </c>
      <c r="H10" s="353">
        <f t="shared" si="34"/>
        <v>12963.36</v>
      </c>
      <c r="I10" s="463">
        <v>0.5</v>
      </c>
      <c r="J10" s="362">
        <v>8900</v>
      </c>
      <c r="K10" s="361">
        <f t="shared" si="14"/>
        <v>9172.4230906666689</v>
      </c>
      <c r="L10" s="390">
        <v>8872.3745149866663</v>
      </c>
      <c r="M10" s="390">
        <f t="shared" si="15"/>
        <v>-300.04857568000261</v>
      </c>
      <c r="N10" s="390"/>
      <c r="O10" s="390">
        <f t="shared" si="0"/>
        <v>9862.8205275985674</v>
      </c>
      <c r="P10" s="372">
        <f t="shared" si="1"/>
        <v>87.927576000000002</v>
      </c>
      <c r="Q10" s="373">
        <f t="shared" si="16"/>
        <v>12963.36</v>
      </c>
      <c r="R10" s="374">
        <f t="shared" si="37"/>
        <v>2092.672</v>
      </c>
      <c r="S10" s="373">
        <f t="shared" si="17"/>
        <v>10782.760424</v>
      </c>
      <c r="T10" s="373">
        <f t="shared" si="18"/>
        <v>25926.720000000001</v>
      </c>
      <c r="U10" s="376">
        <f>H10*0.2</f>
        <v>2592.6720000000005</v>
      </c>
      <c r="V10" s="373">
        <f t="shared" si="2"/>
        <v>10282.760424</v>
      </c>
      <c r="W10" s="373">
        <f t="shared" si="3"/>
        <v>38890.080000000002</v>
      </c>
      <c r="X10" s="376">
        <f>(W10-25000)*0.27+(25000-T10)*0.2</f>
        <v>3564.9776000000006</v>
      </c>
      <c r="Y10" s="373">
        <f t="shared" si="4"/>
        <v>9310.4548240000004</v>
      </c>
      <c r="Z10" s="373">
        <f t="shared" si="5"/>
        <v>51853.440000000002</v>
      </c>
      <c r="AA10" s="376">
        <f t="shared" si="6"/>
        <v>3500.1072000000004</v>
      </c>
      <c r="AB10" s="373">
        <f t="shared" si="19"/>
        <v>9375.3252240000002</v>
      </c>
      <c r="AC10" s="373">
        <f t="shared" si="20"/>
        <v>64816.800000000003</v>
      </c>
      <c r="AD10" s="376">
        <f t="shared" si="7"/>
        <v>3500.1072000000004</v>
      </c>
      <c r="AE10" s="373">
        <f t="shared" si="21"/>
        <v>9375.3252240000002</v>
      </c>
      <c r="AF10" s="373">
        <f t="shared" si="22"/>
        <v>77780.160000000003</v>
      </c>
      <c r="AG10" s="376">
        <f t="shared" si="23"/>
        <v>3500.1072000000004</v>
      </c>
      <c r="AH10" s="373">
        <f t="shared" si="24"/>
        <v>9375.3252240000002</v>
      </c>
      <c r="AI10" s="373">
        <f t="shared" si="25"/>
        <v>90743.52</v>
      </c>
      <c r="AJ10" s="376">
        <f>H10*0.27</f>
        <v>3500.1072000000004</v>
      </c>
      <c r="AK10" s="373">
        <f t="shared" si="26"/>
        <v>9375.3252240000002</v>
      </c>
      <c r="AL10" s="373">
        <f t="shared" si="8"/>
        <v>103706.88</v>
      </c>
      <c r="AM10" s="377">
        <f>(AL10-88000)*0.35+(88000-AI10)*0.27</f>
        <v>4756.6576000000005</v>
      </c>
      <c r="AN10" s="373">
        <f t="shared" si="27"/>
        <v>8118.7748240000001</v>
      </c>
      <c r="AO10" s="373">
        <f t="shared" si="28"/>
        <v>116670.24</v>
      </c>
      <c r="AP10" s="377">
        <f>H10*0.35</f>
        <v>4537.1759999999995</v>
      </c>
      <c r="AQ10" s="373">
        <f t="shared" si="29"/>
        <v>8338.2564240000011</v>
      </c>
      <c r="AR10" s="373">
        <f t="shared" si="30"/>
        <v>129633.60000000001</v>
      </c>
      <c r="AS10" s="377">
        <f t="shared" si="9"/>
        <v>4537.1759999999995</v>
      </c>
      <c r="AT10" s="373">
        <f t="shared" si="31"/>
        <v>8338.2564240000011</v>
      </c>
      <c r="AU10" s="373">
        <f t="shared" si="32"/>
        <v>142596.96000000002</v>
      </c>
      <c r="AV10" s="377">
        <f t="shared" si="10"/>
        <v>4537.1759999999995</v>
      </c>
      <c r="AW10" s="373">
        <f t="shared" si="11"/>
        <v>8338.2564240000011</v>
      </c>
      <c r="AX10" s="373">
        <f t="shared" si="12"/>
        <v>155560.32000000001</v>
      </c>
      <c r="AY10" s="377">
        <f t="shared" si="13"/>
        <v>4537.1759999999995</v>
      </c>
      <c r="AZ10" s="373">
        <f t="shared" si="33"/>
        <v>8338.2564240000011</v>
      </c>
      <c r="BA10" s="371"/>
      <c r="BC10" s="358"/>
    </row>
    <row r="11" spans="1:55" s="233" customFormat="1" ht="30" customHeight="1" x14ac:dyDescent="0.45">
      <c r="A11" s="728"/>
      <c r="B11" s="574" t="s">
        <v>234</v>
      </c>
      <c r="C11" s="231">
        <v>300</v>
      </c>
      <c r="D11" s="238">
        <v>6661</v>
      </c>
      <c r="E11" s="234">
        <v>9992.0399999999991</v>
      </c>
      <c r="F11" s="234">
        <f t="shared" si="36"/>
        <v>16653.04</v>
      </c>
      <c r="G11" s="233">
        <v>359</v>
      </c>
      <c r="H11" s="353">
        <f t="shared" si="34"/>
        <v>10498.656800000001</v>
      </c>
      <c r="I11" s="463">
        <v>0.42</v>
      </c>
      <c r="J11" s="362">
        <v>7400</v>
      </c>
      <c r="K11" s="361">
        <f t="shared" si="14"/>
        <v>7586.6330517866691</v>
      </c>
      <c r="L11" s="390">
        <v>7397.624022828265</v>
      </c>
      <c r="M11" s="390">
        <f t="shared" si="15"/>
        <v>-189.00902895840409</v>
      </c>
      <c r="N11" s="390"/>
      <c r="O11" s="390">
        <f t="shared" si="0"/>
        <v>8157.6699481577079</v>
      </c>
      <c r="P11" s="372">
        <f t="shared" si="1"/>
        <v>71.66053488</v>
      </c>
      <c r="Q11" s="373">
        <f t="shared" si="16"/>
        <v>10498.656800000001</v>
      </c>
      <c r="R11" s="378">
        <f>(Q11*0.15)</f>
        <v>1574.7985200000001</v>
      </c>
      <c r="S11" s="373">
        <f t="shared" si="17"/>
        <v>8852.19774512</v>
      </c>
      <c r="T11" s="373">
        <f t="shared" si="18"/>
        <v>20997.313600000001</v>
      </c>
      <c r="U11" s="374">
        <f>(T11-10000)*0.2+(10000-Q11)*0.15</f>
        <v>2124.6642000000002</v>
      </c>
      <c r="V11" s="373">
        <f t="shared" si="2"/>
        <v>8302.3320651200011</v>
      </c>
      <c r="W11" s="373">
        <f t="shared" si="3"/>
        <v>31495.970400000002</v>
      </c>
      <c r="X11" s="376">
        <f>(W11-25000)*0.27+(25000-T11)*0.2</f>
        <v>2554.4492880000007</v>
      </c>
      <c r="Y11" s="373">
        <f t="shared" si="4"/>
        <v>7872.5469771199996</v>
      </c>
      <c r="Z11" s="373">
        <f t="shared" si="5"/>
        <v>41994.627200000003</v>
      </c>
      <c r="AA11" s="376">
        <f t="shared" si="6"/>
        <v>2834.6373360000002</v>
      </c>
      <c r="AB11" s="373">
        <f t="shared" si="19"/>
        <v>7592.3589291200005</v>
      </c>
      <c r="AC11" s="373">
        <f t="shared" si="20"/>
        <v>52493.284</v>
      </c>
      <c r="AD11" s="376">
        <f t="shared" si="7"/>
        <v>2834.6373360000002</v>
      </c>
      <c r="AE11" s="373">
        <f t="shared" si="21"/>
        <v>7592.3589291200005</v>
      </c>
      <c r="AF11" s="373">
        <f t="shared" si="22"/>
        <v>62991.940800000004</v>
      </c>
      <c r="AG11" s="376">
        <f t="shared" si="23"/>
        <v>2834.6373360000002</v>
      </c>
      <c r="AH11" s="373">
        <f t="shared" si="24"/>
        <v>7592.3589291200005</v>
      </c>
      <c r="AI11" s="373">
        <f t="shared" si="25"/>
        <v>73490.597600000008</v>
      </c>
      <c r="AJ11" s="376">
        <f>H11*0.27</f>
        <v>2834.6373360000002</v>
      </c>
      <c r="AK11" s="373">
        <f t="shared" si="26"/>
        <v>7592.3589291200005</v>
      </c>
      <c r="AL11" s="373">
        <f t="shared" si="8"/>
        <v>83989.254400000005</v>
      </c>
      <c r="AM11" s="376">
        <f>H11*0.27</f>
        <v>2834.6373360000002</v>
      </c>
      <c r="AN11" s="373">
        <f t="shared" si="27"/>
        <v>7592.3589291200005</v>
      </c>
      <c r="AO11" s="373">
        <f t="shared" si="28"/>
        <v>94487.911200000002</v>
      </c>
      <c r="AP11" s="377">
        <f>(AO11-88000)*0.35+(88000-AL11)*0.27</f>
        <v>3353.670231999999</v>
      </c>
      <c r="AQ11" s="373">
        <f t="shared" si="29"/>
        <v>7073.3260331200017</v>
      </c>
      <c r="AR11" s="373">
        <f t="shared" si="30"/>
        <v>104986.568</v>
      </c>
      <c r="AS11" s="377">
        <f t="shared" si="9"/>
        <v>3674.52988</v>
      </c>
      <c r="AT11" s="373">
        <f t="shared" si="31"/>
        <v>6752.4663851200003</v>
      </c>
      <c r="AU11" s="373">
        <f t="shared" si="32"/>
        <v>115485.22480000001</v>
      </c>
      <c r="AV11" s="377">
        <f t="shared" si="10"/>
        <v>3674.52988</v>
      </c>
      <c r="AW11" s="373">
        <f t="shared" si="11"/>
        <v>6752.4663851200003</v>
      </c>
      <c r="AX11" s="373">
        <f t="shared" si="12"/>
        <v>125983.88160000001</v>
      </c>
      <c r="AY11" s="377">
        <f t="shared" si="13"/>
        <v>3674.52988</v>
      </c>
      <c r="AZ11" s="373">
        <f t="shared" si="33"/>
        <v>6752.4663851200003</v>
      </c>
      <c r="BA11" s="371"/>
      <c r="BC11" s="358"/>
    </row>
    <row r="12" spans="1:55" s="380" customFormat="1" ht="30" customHeight="1" x14ac:dyDescent="0.45">
      <c r="A12" s="728"/>
      <c r="B12" s="574" t="s">
        <v>236</v>
      </c>
      <c r="C12" s="231">
        <v>300</v>
      </c>
      <c r="D12" s="238">
        <v>6661</v>
      </c>
      <c r="E12" s="234">
        <v>9992.0399999999991</v>
      </c>
      <c r="F12" s="234">
        <f t="shared" si="36"/>
        <v>16653.04</v>
      </c>
      <c r="G12" s="233">
        <v>359</v>
      </c>
      <c r="H12" s="353">
        <f t="shared" si="34"/>
        <v>10198.8956</v>
      </c>
      <c r="I12" s="463">
        <v>0.39</v>
      </c>
      <c r="J12" s="362">
        <v>7200</v>
      </c>
      <c r="K12" s="361">
        <f t="shared" si="14"/>
        <v>7393.7666957066649</v>
      </c>
      <c r="L12" s="390">
        <v>7218.2583116738651</v>
      </c>
      <c r="M12" s="390">
        <f t="shared" si="15"/>
        <v>-175.50838403279977</v>
      </c>
      <c r="N12" s="390"/>
      <c r="O12" s="390">
        <f t="shared" si="0"/>
        <v>7950.2867695770583</v>
      </c>
      <c r="P12" s="372">
        <f t="shared" si="1"/>
        <v>69.682110960000003</v>
      </c>
      <c r="Q12" s="373">
        <f t="shared" si="16"/>
        <v>10198.8956</v>
      </c>
      <c r="R12" s="378">
        <f>(Q12*0.15)</f>
        <v>1529.8343399999999</v>
      </c>
      <c r="S12" s="373">
        <f t="shared" si="17"/>
        <v>8599.3791490399999</v>
      </c>
      <c r="T12" s="373">
        <f t="shared" si="18"/>
        <v>20397.7912</v>
      </c>
      <c r="U12" s="374">
        <f>(T12-10000)*0.2+(10000-Q12)*0.15</f>
        <v>2049.7239</v>
      </c>
      <c r="V12" s="373">
        <f t="shared" si="2"/>
        <v>8079.4895890399994</v>
      </c>
      <c r="W12" s="373">
        <f t="shared" si="3"/>
        <v>30596.686799999999</v>
      </c>
      <c r="X12" s="382">
        <f>(W12-25000)*0.27+(25000-T12)*0.2</f>
        <v>2431.5471960000004</v>
      </c>
      <c r="Y12" s="373">
        <f t="shared" si="4"/>
        <v>7697.6662930399989</v>
      </c>
      <c r="Z12" s="373">
        <f t="shared" si="5"/>
        <v>40795.582399999999</v>
      </c>
      <c r="AA12" s="382">
        <f t="shared" si="6"/>
        <v>2753.7018120000002</v>
      </c>
      <c r="AB12" s="373">
        <f t="shared" si="19"/>
        <v>7375.5116770399991</v>
      </c>
      <c r="AC12" s="373">
        <f t="shared" si="20"/>
        <v>50994.478000000003</v>
      </c>
      <c r="AD12" s="382">
        <f t="shared" si="7"/>
        <v>2753.7018120000002</v>
      </c>
      <c r="AE12" s="373">
        <f t="shared" si="21"/>
        <v>7375.5116770399991</v>
      </c>
      <c r="AF12" s="373">
        <f t="shared" si="22"/>
        <v>61193.373599999999</v>
      </c>
      <c r="AG12" s="382">
        <f t="shared" si="23"/>
        <v>2753.7018120000002</v>
      </c>
      <c r="AH12" s="373">
        <f t="shared" si="24"/>
        <v>7375.5116770399991</v>
      </c>
      <c r="AI12" s="373">
        <f t="shared" si="25"/>
        <v>71392.269199999995</v>
      </c>
      <c r="AJ12" s="382">
        <f>H12*0.27</f>
        <v>2753.7018120000002</v>
      </c>
      <c r="AK12" s="373">
        <f t="shared" si="26"/>
        <v>7375.5116770399991</v>
      </c>
      <c r="AL12" s="373">
        <f t="shared" si="8"/>
        <v>81591.164799999999</v>
      </c>
      <c r="AM12" s="376">
        <f>H12*0.27</f>
        <v>2753.7018120000002</v>
      </c>
      <c r="AN12" s="373">
        <f t="shared" si="27"/>
        <v>7375.5116770399991</v>
      </c>
      <c r="AO12" s="373">
        <f t="shared" si="28"/>
        <v>91790.060400000002</v>
      </c>
      <c r="AP12" s="376">
        <f>H12*0.27</f>
        <v>2753.7018120000002</v>
      </c>
      <c r="AQ12" s="373">
        <f t="shared" si="29"/>
        <v>7375.5116770399991</v>
      </c>
      <c r="AR12" s="373">
        <f t="shared" si="30"/>
        <v>101988.95600000001</v>
      </c>
      <c r="AS12" s="377">
        <f>(AR12-88000)*0.35+(88000-AO12)*0.27</f>
        <v>3872.8182920000008</v>
      </c>
      <c r="AT12" s="373">
        <f t="shared" si="31"/>
        <v>6256.3951970399985</v>
      </c>
      <c r="AU12" s="373">
        <f t="shared" si="32"/>
        <v>112187.85159999999</v>
      </c>
      <c r="AV12" s="383">
        <f t="shared" si="10"/>
        <v>3569.6134599999996</v>
      </c>
      <c r="AW12" s="373">
        <f t="shared" si="11"/>
        <v>6559.6000290399998</v>
      </c>
      <c r="AX12" s="373">
        <f t="shared" si="12"/>
        <v>122386.7472</v>
      </c>
      <c r="AY12" s="383">
        <f t="shared" si="13"/>
        <v>3569.6134599999996</v>
      </c>
      <c r="AZ12" s="373">
        <f t="shared" si="33"/>
        <v>6559.6000290399998</v>
      </c>
      <c r="BA12" s="384"/>
      <c r="BC12" s="358"/>
    </row>
    <row r="13" spans="1:55" s="233" customFormat="1" ht="30" customHeight="1" x14ac:dyDescent="0.45">
      <c r="A13" s="728"/>
      <c r="B13" s="574" t="s">
        <v>235</v>
      </c>
      <c r="C13" s="231">
        <v>300</v>
      </c>
      <c r="D13" s="238">
        <v>6661</v>
      </c>
      <c r="E13" s="234">
        <v>9992.0399999999991</v>
      </c>
      <c r="F13" s="234">
        <f t="shared" si="36"/>
        <v>16653.04</v>
      </c>
      <c r="G13" s="233">
        <v>359</v>
      </c>
      <c r="H13" s="353">
        <f t="shared" si="34"/>
        <v>9499.4527999999991</v>
      </c>
      <c r="I13" s="463">
        <v>0.32</v>
      </c>
      <c r="J13" s="362">
        <v>6800</v>
      </c>
      <c r="K13" s="361">
        <f t="shared" si="14"/>
        <v>6943.7451981866661</v>
      </c>
      <c r="L13" s="390">
        <v>6799.7383189802667</v>
      </c>
      <c r="M13" s="390">
        <f t="shared" si="15"/>
        <v>-144.00687920639939</v>
      </c>
      <c r="N13" s="390"/>
      <c r="O13" s="390">
        <f t="shared" si="0"/>
        <v>7466.3926862222215</v>
      </c>
      <c r="P13" s="372">
        <f t="shared" si="1"/>
        <v>65.065788479999995</v>
      </c>
      <c r="Q13" s="373">
        <f t="shared" si="16"/>
        <v>9499.4527999999991</v>
      </c>
      <c r="R13" s="378">
        <f>(Q13*0.15)</f>
        <v>1424.9179199999999</v>
      </c>
      <c r="S13" s="373">
        <f t="shared" si="17"/>
        <v>8009.469091519999</v>
      </c>
      <c r="T13" s="373">
        <f t="shared" si="18"/>
        <v>18998.905599999998</v>
      </c>
      <c r="U13" s="374">
        <f>(T13-10000)*0.2+(10000-Q13)*0.15</f>
        <v>1874.8631999999998</v>
      </c>
      <c r="V13" s="373">
        <f t="shared" si="2"/>
        <v>7559.5238115199991</v>
      </c>
      <c r="W13" s="373">
        <f t="shared" si="3"/>
        <v>28498.358399999997</v>
      </c>
      <c r="X13" s="376">
        <f>(W13-25000)*0.27+(25000-T13)*0.2</f>
        <v>2144.7756479999998</v>
      </c>
      <c r="Y13" s="373">
        <f t="shared" si="4"/>
        <v>7289.611363519999</v>
      </c>
      <c r="Z13" s="373">
        <f t="shared" si="5"/>
        <v>37997.811199999996</v>
      </c>
      <c r="AA13" s="376">
        <f t="shared" si="6"/>
        <v>2564.8522560000001</v>
      </c>
      <c r="AB13" s="373">
        <f t="shared" si="19"/>
        <v>6869.5347555199987</v>
      </c>
      <c r="AC13" s="373">
        <f t="shared" si="20"/>
        <v>47497.263999999996</v>
      </c>
      <c r="AD13" s="376">
        <f t="shared" si="7"/>
        <v>2564.8522560000001</v>
      </c>
      <c r="AE13" s="373">
        <f t="shared" si="21"/>
        <v>6869.5347555199987</v>
      </c>
      <c r="AF13" s="373">
        <f t="shared" si="22"/>
        <v>56996.716799999995</v>
      </c>
      <c r="AG13" s="376">
        <f t="shared" si="23"/>
        <v>2564.8522560000001</v>
      </c>
      <c r="AH13" s="373">
        <f t="shared" si="24"/>
        <v>6869.5347555199987</v>
      </c>
      <c r="AI13" s="373">
        <f t="shared" si="25"/>
        <v>66496.169599999994</v>
      </c>
      <c r="AJ13" s="376">
        <f>H13*0.27</f>
        <v>2564.8522560000001</v>
      </c>
      <c r="AK13" s="373">
        <f t="shared" si="26"/>
        <v>6869.5347555199987</v>
      </c>
      <c r="AL13" s="373">
        <f t="shared" si="8"/>
        <v>75995.622399999993</v>
      </c>
      <c r="AM13" s="376">
        <f>H13*0.27</f>
        <v>2564.8522560000001</v>
      </c>
      <c r="AN13" s="373">
        <f t="shared" si="27"/>
        <v>6869.5347555199987</v>
      </c>
      <c r="AO13" s="373">
        <f t="shared" si="28"/>
        <v>85495.075199999992</v>
      </c>
      <c r="AP13" s="376">
        <f>H13*0.27</f>
        <v>2564.8522560000001</v>
      </c>
      <c r="AQ13" s="373">
        <f t="shared" si="29"/>
        <v>6869.5347555199987</v>
      </c>
      <c r="AR13" s="373">
        <f t="shared" si="30"/>
        <v>94994.527999999991</v>
      </c>
      <c r="AS13" s="377">
        <f>(AR13-88000)*0.35+(88000-AO13)*0.27</f>
        <v>3124.414495999999</v>
      </c>
      <c r="AT13" s="373">
        <f t="shared" si="31"/>
        <v>6309.9725155199994</v>
      </c>
      <c r="AU13" s="373">
        <f t="shared" si="32"/>
        <v>104493.98079999999</v>
      </c>
      <c r="AV13" s="377">
        <f t="shared" si="10"/>
        <v>3324.8084799999997</v>
      </c>
      <c r="AW13" s="373">
        <f t="shared" si="11"/>
        <v>6109.5785315199992</v>
      </c>
      <c r="AX13" s="373">
        <f t="shared" si="12"/>
        <v>113993.43359999999</v>
      </c>
      <c r="AY13" s="377">
        <f t="shared" si="13"/>
        <v>3324.8084799999997</v>
      </c>
      <c r="AZ13" s="373">
        <f t="shared" si="33"/>
        <v>6109.5785315199992</v>
      </c>
      <c r="BA13" s="371"/>
      <c r="BC13" s="358"/>
    </row>
    <row r="14" spans="1:55" s="233" customFormat="1" ht="30" customHeight="1" x14ac:dyDescent="0.45">
      <c r="A14" s="729"/>
      <c r="B14" s="347" t="s">
        <v>216</v>
      </c>
      <c r="C14" s="283">
        <v>300</v>
      </c>
      <c r="D14" s="238">
        <v>6661</v>
      </c>
      <c r="E14" s="238">
        <v>9992.0399999999991</v>
      </c>
      <c r="F14" s="238">
        <f t="shared" si="36"/>
        <v>16653.04</v>
      </c>
      <c r="G14" s="233">
        <v>359</v>
      </c>
      <c r="H14" s="353">
        <f t="shared" si="34"/>
        <v>8500.2487999999994</v>
      </c>
      <c r="I14" s="463">
        <v>0.22</v>
      </c>
      <c r="J14" s="362">
        <v>6200</v>
      </c>
      <c r="K14" s="361">
        <f t="shared" si="14"/>
        <v>6300.8573445866668</v>
      </c>
      <c r="L14" s="390">
        <v>6201.8526151322667</v>
      </c>
      <c r="M14" s="390">
        <f t="shared" si="15"/>
        <v>-99.004729454400149</v>
      </c>
      <c r="N14" s="390"/>
      <c r="O14" s="390">
        <f t="shared" si="0"/>
        <v>6775.1154242867378</v>
      </c>
      <c r="P14" s="372">
        <f t="shared" si="1"/>
        <v>58.471042079999997</v>
      </c>
      <c r="Q14" s="373">
        <f t="shared" si="16"/>
        <v>8500.2487999999994</v>
      </c>
      <c r="R14" s="378">
        <f>(Q14*0.15)</f>
        <v>1275.0373199999999</v>
      </c>
      <c r="S14" s="373">
        <f t="shared" si="17"/>
        <v>7166.7404379199997</v>
      </c>
      <c r="T14" s="373">
        <f t="shared" si="18"/>
        <v>17000.497599999999</v>
      </c>
      <c r="U14" s="374">
        <f>(T14-10000)*0.2+(10000-Q14)*0.15</f>
        <v>1625.0621999999998</v>
      </c>
      <c r="V14" s="373">
        <f t="shared" si="2"/>
        <v>6816.7155579199989</v>
      </c>
      <c r="W14" s="373">
        <f t="shared" si="3"/>
        <v>25500.746399999996</v>
      </c>
      <c r="X14" s="374">
        <f>H14*0.2</f>
        <v>1700.0497599999999</v>
      </c>
      <c r="Y14" s="373">
        <f t="shared" si="4"/>
        <v>6741.7279979199993</v>
      </c>
      <c r="Z14" s="373">
        <f t="shared" si="5"/>
        <v>34000.995199999998</v>
      </c>
      <c r="AA14" s="382">
        <f>(Z14-25000)*0.27+(25000-W14)*0.2</f>
        <v>2330.1194240000004</v>
      </c>
      <c r="AB14" s="373">
        <f t="shared" si="19"/>
        <v>6111.6583339199988</v>
      </c>
      <c r="AC14" s="373">
        <f t="shared" si="20"/>
        <v>42501.243999999999</v>
      </c>
      <c r="AD14" s="376">
        <f t="shared" si="7"/>
        <v>2295.067176</v>
      </c>
      <c r="AE14" s="373">
        <f t="shared" si="21"/>
        <v>6146.7105819199987</v>
      </c>
      <c r="AF14" s="373">
        <f t="shared" si="22"/>
        <v>51001.492799999993</v>
      </c>
      <c r="AG14" s="376">
        <f t="shared" si="23"/>
        <v>2295.067176</v>
      </c>
      <c r="AH14" s="373">
        <f t="shared" si="24"/>
        <v>6146.7105819199987</v>
      </c>
      <c r="AI14" s="373">
        <f t="shared" si="25"/>
        <v>59501.741599999994</v>
      </c>
      <c r="AJ14" s="376">
        <f>H14*0.27</f>
        <v>2295.067176</v>
      </c>
      <c r="AK14" s="373">
        <f t="shared" si="26"/>
        <v>6146.7105819199987</v>
      </c>
      <c r="AL14" s="373">
        <f t="shared" si="8"/>
        <v>68001.990399999995</v>
      </c>
      <c r="AM14" s="376">
        <f>H14*0.27</f>
        <v>2295.067176</v>
      </c>
      <c r="AN14" s="373">
        <f t="shared" si="27"/>
        <v>6146.7105819199987</v>
      </c>
      <c r="AO14" s="373">
        <f t="shared" si="28"/>
        <v>76502.239199999996</v>
      </c>
      <c r="AP14" s="376">
        <f>H14*0.27</f>
        <v>2295.067176</v>
      </c>
      <c r="AQ14" s="373">
        <f t="shared" si="29"/>
        <v>6146.7105819199987</v>
      </c>
      <c r="AR14" s="373">
        <f t="shared" si="30"/>
        <v>85002.487999999998</v>
      </c>
      <c r="AS14" s="376">
        <f>H14*0.27</f>
        <v>2295.067176</v>
      </c>
      <c r="AT14" s="373">
        <f t="shared" si="31"/>
        <v>6146.7105819199987</v>
      </c>
      <c r="AU14" s="373">
        <f t="shared" si="32"/>
        <v>93502.736799999999</v>
      </c>
      <c r="AV14" s="377">
        <f>(AU14-88000)*0.35+(88000-AR14)*0.27</f>
        <v>2735.2861200000002</v>
      </c>
      <c r="AW14" s="373">
        <f t="shared" si="11"/>
        <v>5706.4916379199985</v>
      </c>
      <c r="AX14" s="373">
        <f t="shared" si="12"/>
        <v>102002.98559999999</v>
      </c>
      <c r="AY14" s="377">
        <f t="shared" si="13"/>
        <v>2975.0870799999998</v>
      </c>
      <c r="AZ14" s="373">
        <f t="shared" si="33"/>
        <v>5466.6906779199999</v>
      </c>
      <c r="BA14" s="371"/>
      <c r="BC14" s="358"/>
    </row>
    <row r="15" spans="1:55" s="233" customFormat="1" ht="30" customHeight="1" x14ac:dyDescent="0.45">
      <c r="A15" s="730" t="s">
        <v>15</v>
      </c>
      <c r="B15" s="574" t="s">
        <v>215</v>
      </c>
      <c r="C15" s="231">
        <v>600</v>
      </c>
      <c r="D15" s="234">
        <v>4996.0199999999995</v>
      </c>
      <c r="E15" s="234">
        <v>19984.079999999998</v>
      </c>
      <c r="F15" s="234">
        <f t="shared" si="36"/>
        <v>24980.1</v>
      </c>
      <c r="G15" s="233">
        <v>359</v>
      </c>
      <c r="H15" s="353">
        <f t="shared" si="34"/>
        <v>18026.353599999999</v>
      </c>
      <c r="I15" s="463">
        <v>0.67</v>
      </c>
      <c r="J15" s="362">
        <v>11900</v>
      </c>
      <c r="K15" s="361">
        <f t="shared" si="14"/>
        <v>12429.953172906664</v>
      </c>
      <c r="L15" s="390">
        <v>11826.924366229863</v>
      </c>
      <c r="M15" s="390">
        <f t="shared" si="15"/>
        <v>-603.02880667680074</v>
      </c>
      <c r="N15" s="390"/>
      <c r="O15" s="390">
        <f t="shared" si="0"/>
        <v>13365.541046136197</v>
      </c>
      <c r="P15" s="372">
        <f t="shared" si="1"/>
        <v>121.34333375999999</v>
      </c>
      <c r="Q15" s="373">
        <f t="shared" si="16"/>
        <v>18026.353599999999</v>
      </c>
      <c r="R15" s="374">
        <f t="shared" si="37"/>
        <v>3105.2707199999995</v>
      </c>
      <c r="S15" s="373">
        <f t="shared" si="17"/>
        <v>14799.739546239998</v>
      </c>
      <c r="T15" s="373">
        <f t="shared" si="18"/>
        <v>36052.707199999997</v>
      </c>
      <c r="U15" s="376">
        <f>(T15-25000)*0.27+(25000-Q15)*0.2</f>
        <v>4378.9602240000004</v>
      </c>
      <c r="V15" s="373">
        <f t="shared" si="2"/>
        <v>13526.050042239998</v>
      </c>
      <c r="W15" s="373">
        <f t="shared" si="3"/>
        <v>54079.060799999992</v>
      </c>
      <c r="X15" s="376">
        <f>H15*0.27</f>
        <v>4867.1154719999995</v>
      </c>
      <c r="Y15" s="373">
        <f t="shared" si="4"/>
        <v>13037.894794239999</v>
      </c>
      <c r="Z15" s="373">
        <f t="shared" si="5"/>
        <v>72105.414399999994</v>
      </c>
      <c r="AA15" s="376">
        <f t="shared" si="6"/>
        <v>4867.1154719999995</v>
      </c>
      <c r="AB15" s="373">
        <f t="shared" si="19"/>
        <v>13037.894794239999</v>
      </c>
      <c r="AC15" s="373">
        <f t="shared" si="20"/>
        <v>90131.767999999996</v>
      </c>
      <c r="AD15" s="376">
        <f t="shared" si="7"/>
        <v>4867.1154719999995</v>
      </c>
      <c r="AE15" s="373">
        <f t="shared" si="21"/>
        <v>13037.894794239999</v>
      </c>
      <c r="AF15" s="373">
        <f t="shared" si="22"/>
        <v>108158.12159999998</v>
      </c>
      <c r="AG15" s="377">
        <f>(AF15-88000)*0.35+(88000-AC15)*0.27</f>
        <v>6479.7651999999944</v>
      </c>
      <c r="AH15" s="373">
        <f t="shared" si="24"/>
        <v>11425.245066240004</v>
      </c>
      <c r="AI15" s="373">
        <f t="shared" si="25"/>
        <v>126184.47519999999</v>
      </c>
      <c r="AJ15" s="377">
        <f>H15*0.35</f>
        <v>6309.2237599999989</v>
      </c>
      <c r="AK15" s="373">
        <f t="shared" si="26"/>
        <v>11595.78650624</v>
      </c>
      <c r="AL15" s="373">
        <f t="shared" si="8"/>
        <v>144210.82879999999</v>
      </c>
      <c r="AM15" s="377">
        <f>H15*0.35</f>
        <v>6309.2237599999989</v>
      </c>
      <c r="AN15" s="373">
        <f t="shared" si="27"/>
        <v>11595.78650624</v>
      </c>
      <c r="AO15" s="373">
        <f t="shared" si="28"/>
        <v>162237.18239999999</v>
      </c>
      <c r="AP15" s="377">
        <f>H15*0.35</f>
        <v>6309.2237599999989</v>
      </c>
      <c r="AQ15" s="373">
        <f t="shared" si="29"/>
        <v>11595.78650624</v>
      </c>
      <c r="AR15" s="373">
        <f t="shared" si="30"/>
        <v>180263.53599999999</v>
      </c>
      <c r="AS15" s="377">
        <f>H15*0.35</f>
        <v>6309.2237599999989</v>
      </c>
      <c r="AT15" s="373">
        <f t="shared" si="31"/>
        <v>11595.78650624</v>
      </c>
      <c r="AU15" s="373">
        <f t="shared" si="32"/>
        <v>198289.88959999999</v>
      </c>
      <c r="AV15" s="377">
        <f t="shared" si="10"/>
        <v>6309.2237599999989</v>
      </c>
      <c r="AW15" s="373">
        <f t="shared" si="11"/>
        <v>11595.78650624</v>
      </c>
      <c r="AX15" s="373">
        <f t="shared" si="12"/>
        <v>216316.24319999997</v>
      </c>
      <c r="AY15" s="377">
        <f t="shared" si="13"/>
        <v>6309.2237599999989</v>
      </c>
      <c r="AZ15" s="373">
        <f t="shared" si="33"/>
        <v>11595.78650624</v>
      </c>
      <c r="BA15" s="371"/>
      <c r="BC15" s="358"/>
    </row>
    <row r="16" spans="1:55" s="233" customFormat="1" ht="30" customHeight="1" x14ac:dyDescent="0.45">
      <c r="A16" s="730"/>
      <c r="B16" s="574" t="s">
        <v>214</v>
      </c>
      <c r="C16" s="231">
        <v>600</v>
      </c>
      <c r="D16" s="234">
        <v>4996.0199999999995</v>
      </c>
      <c r="E16" s="234">
        <v>19984.079999999998</v>
      </c>
      <c r="F16" s="234">
        <f t="shared" si="36"/>
        <v>24980.1</v>
      </c>
      <c r="G16" s="233">
        <v>359</v>
      </c>
      <c r="H16" s="353">
        <f t="shared" si="34"/>
        <v>11631.447999999999</v>
      </c>
      <c r="I16" s="363">
        <v>0.35</v>
      </c>
      <c r="J16" s="362">
        <v>8000</v>
      </c>
      <c r="K16" s="361">
        <f t="shared" si="14"/>
        <v>8315.4709098666644</v>
      </c>
      <c r="L16" s="390">
        <v>8000.4558616026688</v>
      </c>
      <c r="M16" s="390">
        <f t="shared" si="15"/>
        <v>-315.0150482639956</v>
      </c>
      <c r="N16" s="390"/>
      <c r="O16" s="390">
        <f t="shared" si="0"/>
        <v>8941.3665697491015</v>
      </c>
      <c r="P16" s="372">
        <f t="shared" si="1"/>
        <v>79.136956799999993</v>
      </c>
      <c r="Q16" s="373">
        <f t="shared" si="16"/>
        <v>11631.447999999999</v>
      </c>
      <c r="R16" s="374">
        <f t="shared" si="37"/>
        <v>1826.2895999999996</v>
      </c>
      <c r="S16" s="373">
        <f t="shared" si="17"/>
        <v>9726.0214431999993</v>
      </c>
      <c r="T16" s="373">
        <f t="shared" si="18"/>
        <v>23262.895999999997</v>
      </c>
      <c r="U16" s="374">
        <f>H16*0.2</f>
        <v>2326.2895999999996</v>
      </c>
      <c r="V16" s="373">
        <f t="shared" si="2"/>
        <v>9226.0214431999993</v>
      </c>
      <c r="W16" s="373">
        <f t="shared" si="3"/>
        <v>34894.343999999997</v>
      </c>
      <c r="X16" s="376">
        <f>(W16-25000)*0.27+(25000-T16)*0.2</f>
        <v>3018.8936800000001</v>
      </c>
      <c r="Y16" s="373">
        <f t="shared" si="4"/>
        <v>8533.4173631999984</v>
      </c>
      <c r="Z16" s="373">
        <f t="shared" si="5"/>
        <v>46525.791999999994</v>
      </c>
      <c r="AA16" s="376">
        <f t="shared" si="6"/>
        <v>3140.4909599999996</v>
      </c>
      <c r="AB16" s="373">
        <f t="shared" si="19"/>
        <v>8411.8200832000002</v>
      </c>
      <c r="AC16" s="373">
        <f t="shared" si="20"/>
        <v>58157.239999999991</v>
      </c>
      <c r="AD16" s="376">
        <f t="shared" si="7"/>
        <v>3140.4909599999996</v>
      </c>
      <c r="AE16" s="373">
        <f t="shared" si="21"/>
        <v>8411.8200832000002</v>
      </c>
      <c r="AF16" s="373">
        <f t="shared" si="22"/>
        <v>69788.687999999995</v>
      </c>
      <c r="AG16" s="376">
        <f t="shared" ref="AG16:AG25" si="39">H16*0.27</f>
        <v>3140.4909599999996</v>
      </c>
      <c r="AH16" s="373">
        <f t="shared" si="24"/>
        <v>8411.8200832000002</v>
      </c>
      <c r="AI16" s="373">
        <f t="shared" si="25"/>
        <v>81420.135999999984</v>
      </c>
      <c r="AJ16" s="376">
        <f>H16*0.27</f>
        <v>3140.4909599999996</v>
      </c>
      <c r="AK16" s="373">
        <f t="shared" si="26"/>
        <v>8411.8200832000002</v>
      </c>
      <c r="AL16" s="373">
        <f t="shared" si="8"/>
        <v>93051.583999999988</v>
      </c>
      <c r="AM16" s="376">
        <f>H16*0.27</f>
        <v>3140.4909599999996</v>
      </c>
      <c r="AN16" s="373">
        <f t="shared" si="27"/>
        <v>8411.8200832000002</v>
      </c>
      <c r="AO16" s="373">
        <f t="shared" si="28"/>
        <v>104683.03199999999</v>
      </c>
      <c r="AP16" s="377">
        <f>(AO16-88000)*0.35+(88000-AL16)*0.27</f>
        <v>4475.1335199999994</v>
      </c>
      <c r="AQ16" s="373">
        <f t="shared" si="29"/>
        <v>7077.1775232</v>
      </c>
      <c r="AR16" s="373">
        <f t="shared" si="30"/>
        <v>116314.47999999998</v>
      </c>
      <c r="AS16" s="377">
        <f>H16*0.35</f>
        <v>4071.0067999999992</v>
      </c>
      <c r="AT16" s="373">
        <f t="shared" si="31"/>
        <v>7481.3042432000002</v>
      </c>
      <c r="AU16" s="373">
        <f t="shared" si="32"/>
        <v>127945.92799999999</v>
      </c>
      <c r="AV16" s="377">
        <f t="shared" si="10"/>
        <v>4071.0067999999992</v>
      </c>
      <c r="AW16" s="373">
        <f t="shared" si="11"/>
        <v>7481.3042432000002</v>
      </c>
      <c r="AX16" s="373">
        <f t="shared" si="12"/>
        <v>139577.37599999999</v>
      </c>
      <c r="AY16" s="377">
        <f t="shared" si="13"/>
        <v>4071.0067999999992</v>
      </c>
      <c r="AZ16" s="373">
        <f t="shared" si="33"/>
        <v>7481.3042432000002</v>
      </c>
      <c r="BA16" s="371"/>
      <c r="BC16" s="358"/>
    </row>
    <row r="17" spans="1:55" s="233" customFormat="1" ht="30" customHeight="1" x14ac:dyDescent="0.45">
      <c r="A17" s="730"/>
      <c r="B17" s="347" t="s">
        <v>213</v>
      </c>
      <c r="C17" s="283">
        <v>600</v>
      </c>
      <c r="D17" s="234">
        <v>4996.0199999999995</v>
      </c>
      <c r="E17" s="238">
        <v>19984.079999999998</v>
      </c>
      <c r="F17" s="238">
        <f t="shared" si="36"/>
        <v>24980.1</v>
      </c>
      <c r="G17" s="233">
        <v>359</v>
      </c>
      <c r="H17" s="353">
        <f t="shared" si="34"/>
        <v>9633.0399999999991</v>
      </c>
      <c r="I17" s="363">
        <v>0.25</v>
      </c>
      <c r="J17" s="362">
        <v>6804</v>
      </c>
      <c r="K17" s="361">
        <f t="shared" si="14"/>
        <v>7029.695202666665</v>
      </c>
      <c r="L17" s="390">
        <v>6804.684453906666</v>
      </c>
      <c r="M17" s="390">
        <f t="shared" si="15"/>
        <v>-225.01074875999893</v>
      </c>
      <c r="N17" s="390"/>
      <c r="O17" s="390">
        <f t="shared" si="0"/>
        <v>7558.8120458781341</v>
      </c>
      <c r="P17" s="372">
        <f t="shared" si="1"/>
        <v>65.947463999999997</v>
      </c>
      <c r="Q17" s="373">
        <f t="shared" si="16"/>
        <v>9633.0399999999991</v>
      </c>
      <c r="R17" s="378">
        <f>Q17*0.15</f>
        <v>1444.9559999999999</v>
      </c>
      <c r="S17" s="373">
        <f t="shared" si="17"/>
        <v>8122.1365359999982</v>
      </c>
      <c r="T17" s="373">
        <f t="shared" si="18"/>
        <v>19266.079999999998</v>
      </c>
      <c r="U17" s="374">
        <f>(T17-10000)*0.2+(10000-Q17)*0.15</f>
        <v>1908.2599999999998</v>
      </c>
      <c r="V17" s="373">
        <f t="shared" si="2"/>
        <v>7658.8325359999981</v>
      </c>
      <c r="W17" s="373">
        <f t="shared" si="3"/>
        <v>28899.119999999995</v>
      </c>
      <c r="X17" s="376">
        <f>(W17-25000)*0.27+(25000-T17)*0.2</f>
        <v>2199.5463999999993</v>
      </c>
      <c r="Y17" s="373">
        <f t="shared" si="4"/>
        <v>7367.546135999999</v>
      </c>
      <c r="Z17" s="373">
        <f t="shared" si="5"/>
        <v>38532.159999999996</v>
      </c>
      <c r="AA17" s="376">
        <f t="shared" si="6"/>
        <v>2600.9207999999999</v>
      </c>
      <c r="AB17" s="373">
        <f t="shared" si="19"/>
        <v>6966.1717359999984</v>
      </c>
      <c r="AC17" s="373">
        <f t="shared" si="20"/>
        <v>48165.2</v>
      </c>
      <c r="AD17" s="376">
        <f t="shared" si="7"/>
        <v>2600.9207999999999</v>
      </c>
      <c r="AE17" s="373">
        <f t="shared" si="21"/>
        <v>6966.1717359999984</v>
      </c>
      <c r="AF17" s="373">
        <f t="shared" si="22"/>
        <v>57798.239999999991</v>
      </c>
      <c r="AG17" s="376">
        <f t="shared" si="39"/>
        <v>2600.9207999999999</v>
      </c>
      <c r="AH17" s="373">
        <f t="shared" si="24"/>
        <v>6966.1717359999984</v>
      </c>
      <c r="AI17" s="373">
        <f t="shared" si="25"/>
        <v>67431.28</v>
      </c>
      <c r="AJ17" s="376">
        <f>H17*0.27</f>
        <v>2600.9207999999999</v>
      </c>
      <c r="AK17" s="373">
        <f t="shared" si="26"/>
        <v>6966.1717359999984</v>
      </c>
      <c r="AL17" s="373">
        <f t="shared" si="8"/>
        <v>77064.319999999992</v>
      </c>
      <c r="AM17" s="376">
        <f>H17*0.27</f>
        <v>2600.9207999999999</v>
      </c>
      <c r="AN17" s="373">
        <f t="shared" si="27"/>
        <v>6966.1717359999984</v>
      </c>
      <c r="AO17" s="373">
        <f t="shared" si="28"/>
        <v>86697.359999999986</v>
      </c>
      <c r="AP17" s="376">
        <f>H17*0.27</f>
        <v>2600.9207999999999</v>
      </c>
      <c r="AQ17" s="373">
        <f t="shared" si="29"/>
        <v>6966.1717359999984</v>
      </c>
      <c r="AR17" s="373">
        <f t="shared" si="30"/>
        <v>96330.4</v>
      </c>
      <c r="AS17" s="377">
        <f>(AR17-88000)*0.35+(88000-AO17)*0.27</f>
        <v>3267.3528000000015</v>
      </c>
      <c r="AT17" s="373">
        <f t="shared" si="31"/>
        <v>6299.7397359999968</v>
      </c>
      <c r="AU17" s="373">
        <f t="shared" si="32"/>
        <v>105963.43999999999</v>
      </c>
      <c r="AV17" s="377">
        <f t="shared" si="10"/>
        <v>3371.5639999999994</v>
      </c>
      <c r="AW17" s="373">
        <f t="shared" si="11"/>
        <v>6195.5285359999989</v>
      </c>
      <c r="AX17" s="373">
        <f t="shared" si="12"/>
        <v>115596.47999999998</v>
      </c>
      <c r="AY17" s="377">
        <f t="shared" si="13"/>
        <v>3371.5639999999994</v>
      </c>
      <c r="AZ17" s="373">
        <f t="shared" si="33"/>
        <v>6195.5285359999989</v>
      </c>
      <c r="BA17" s="371"/>
      <c r="BC17" s="358"/>
    </row>
    <row r="18" spans="1:55" s="233" customFormat="1" ht="30" customHeight="1" x14ac:dyDescent="0.45">
      <c r="A18" s="730"/>
      <c r="B18" s="574" t="s">
        <v>32</v>
      </c>
      <c r="C18" s="231">
        <v>450</v>
      </c>
      <c r="D18" s="234">
        <v>4996.0199999999995</v>
      </c>
      <c r="E18" s="234">
        <v>14988.06</v>
      </c>
      <c r="F18" s="234">
        <f t="shared" si="36"/>
        <v>19984.079999999998</v>
      </c>
      <c r="G18" s="233">
        <v>359</v>
      </c>
      <c r="H18" s="353">
        <f t="shared" si="34"/>
        <v>14079.497800000001</v>
      </c>
      <c r="I18" s="463">
        <v>0.63</v>
      </c>
      <c r="J18" s="362">
        <v>9500</v>
      </c>
      <c r="K18" s="361">
        <f t="shared" si="14"/>
        <v>9890.5461511866688</v>
      </c>
      <c r="L18" s="390">
        <v>9465.2758360302669</v>
      </c>
      <c r="M18" s="390">
        <f t="shared" si="15"/>
        <v>-425.27031515640192</v>
      </c>
      <c r="N18" s="390"/>
      <c r="O18" s="390">
        <f t="shared" si="0"/>
        <v>10634.995861491041</v>
      </c>
      <c r="P18" s="372">
        <f t="shared" si="1"/>
        <v>95.294085480000007</v>
      </c>
      <c r="Q18" s="373">
        <f t="shared" si="16"/>
        <v>14079.497800000001</v>
      </c>
      <c r="R18" s="374">
        <f t="shared" si="37"/>
        <v>2315.8995600000003</v>
      </c>
      <c r="S18" s="373">
        <f t="shared" si="17"/>
        <v>11668.304154520001</v>
      </c>
      <c r="T18" s="373">
        <f t="shared" si="18"/>
        <v>28158.995600000002</v>
      </c>
      <c r="U18" s="376">
        <f>(T18-25000)*0.27+(25000-Q18)*0.2</f>
        <v>3037.0292520000003</v>
      </c>
      <c r="V18" s="373">
        <f t="shared" si="2"/>
        <v>10947.174462520001</v>
      </c>
      <c r="W18" s="373">
        <f t="shared" si="3"/>
        <v>42238.493400000007</v>
      </c>
      <c r="X18" s="376">
        <f>H18*0.27</f>
        <v>3801.4644060000005</v>
      </c>
      <c r="Y18" s="373">
        <f t="shared" si="4"/>
        <v>10182.73930852</v>
      </c>
      <c r="Z18" s="373">
        <f t="shared" si="5"/>
        <v>56317.991200000004</v>
      </c>
      <c r="AA18" s="376">
        <f t="shared" si="6"/>
        <v>3801.4644060000005</v>
      </c>
      <c r="AB18" s="373">
        <f t="shared" si="19"/>
        <v>10182.73930852</v>
      </c>
      <c r="AC18" s="373">
        <f t="shared" si="20"/>
        <v>70397.489000000001</v>
      </c>
      <c r="AD18" s="376">
        <f t="shared" si="7"/>
        <v>3801.4644060000005</v>
      </c>
      <c r="AE18" s="373">
        <f t="shared" si="21"/>
        <v>10182.73930852</v>
      </c>
      <c r="AF18" s="373">
        <f t="shared" si="22"/>
        <v>84476.986800000013</v>
      </c>
      <c r="AG18" s="376">
        <f t="shared" si="39"/>
        <v>3801.4644060000005</v>
      </c>
      <c r="AH18" s="373">
        <f t="shared" si="24"/>
        <v>10182.73930852</v>
      </c>
      <c r="AI18" s="373">
        <f t="shared" si="25"/>
        <v>98556.484600000011</v>
      </c>
      <c r="AJ18" s="377">
        <f>(AI18-88000)*0.35+(88000-AF18)*0.27</f>
        <v>4645.983174</v>
      </c>
      <c r="AK18" s="373">
        <f t="shared" si="26"/>
        <v>9338.2205405200002</v>
      </c>
      <c r="AL18" s="373">
        <f t="shared" si="8"/>
        <v>112635.98240000001</v>
      </c>
      <c r="AM18" s="377">
        <f>H18*0.35</f>
        <v>4927.8242300000002</v>
      </c>
      <c r="AN18" s="373">
        <f t="shared" si="27"/>
        <v>9056.3794845200009</v>
      </c>
      <c r="AO18" s="373">
        <f t="shared" si="28"/>
        <v>126715.48020000001</v>
      </c>
      <c r="AP18" s="377">
        <f>H18*0.35</f>
        <v>4927.8242300000002</v>
      </c>
      <c r="AQ18" s="373">
        <f t="shared" si="29"/>
        <v>9056.3794845200009</v>
      </c>
      <c r="AR18" s="373">
        <f t="shared" si="30"/>
        <v>140794.978</v>
      </c>
      <c r="AS18" s="377">
        <f>H18*0.35</f>
        <v>4927.8242300000002</v>
      </c>
      <c r="AT18" s="373">
        <f t="shared" si="31"/>
        <v>9056.3794845200009</v>
      </c>
      <c r="AU18" s="373">
        <f t="shared" si="32"/>
        <v>154874.47580000001</v>
      </c>
      <c r="AV18" s="377">
        <f t="shared" si="10"/>
        <v>4927.8242300000002</v>
      </c>
      <c r="AW18" s="373">
        <f t="shared" si="11"/>
        <v>9056.3794845200009</v>
      </c>
      <c r="AX18" s="373">
        <f t="shared" si="12"/>
        <v>168953.97360000003</v>
      </c>
      <c r="AY18" s="377">
        <f t="shared" si="13"/>
        <v>4927.8242300000002</v>
      </c>
      <c r="AZ18" s="373">
        <f t="shared" si="33"/>
        <v>9056.3794845200009</v>
      </c>
      <c r="BA18" s="371"/>
      <c r="BC18" s="358"/>
    </row>
    <row r="19" spans="1:55" s="233" customFormat="1" ht="30" customHeight="1" x14ac:dyDescent="0.45">
      <c r="A19" s="730"/>
      <c r="B19" s="574" t="s">
        <v>237</v>
      </c>
      <c r="C19" s="231">
        <v>450</v>
      </c>
      <c r="D19" s="234">
        <v>4996.0199999999995</v>
      </c>
      <c r="E19" s="234">
        <v>14988.06</v>
      </c>
      <c r="F19" s="234">
        <f t="shared" si="36"/>
        <v>19984.079999999998</v>
      </c>
      <c r="G19" s="233">
        <v>359</v>
      </c>
      <c r="H19" s="353">
        <f t="shared" si="34"/>
        <v>12131.05</v>
      </c>
      <c r="I19" s="463">
        <v>0.5</v>
      </c>
      <c r="J19" s="362">
        <v>8300</v>
      </c>
      <c r="K19" s="361">
        <f t="shared" si="14"/>
        <v>8636.9148366666686</v>
      </c>
      <c r="L19" s="390">
        <v>8299.3987135266634</v>
      </c>
      <c r="M19" s="390">
        <f t="shared" si="15"/>
        <v>-337.51612314000522</v>
      </c>
      <c r="N19" s="390"/>
      <c r="O19" s="390">
        <f t="shared" si="0"/>
        <v>9287.005200716847</v>
      </c>
      <c r="P19" s="372">
        <f t="shared" si="1"/>
        <v>82.434329999999989</v>
      </c>
      <c r="Q19" s="373">
        <f t="shared" si="16"/>
        <v>12131.05</v>
      </c>
      <c r="R19" s="374">
        <f t="shared" si="37"/>
        <v>1926.2099999999998</v>
      </c>
      <c r="S19" s="373">
        <f t="shared" si="17"/>
        <v>10122.40567</v>
      </c>
      <c r="T19" s="373">
        <f t="shared" si="18"/>
        <v>24262.1</v>
      </c>
      <c r="U19" s="374">
        <f>H19*0.2</f>
        <v>2426.21</v>
      </c>
      <c r="V19" s="373">
        <f t="shared" si="2"/>
        <v>9622.4056700000001</v>
      </c>
      <c r="W19" s="373">
        <f t="shared" si="3"/>
        <v>36393.149999999994</v>
      </c>
      <c r="X19" s="376">
        <f>(W19-25000)*0.27+(25000-T19)*0.2</f>
        <v>3223.7304999999992</v>
      </c>
      <c r="Y19" s="373">
        <f t="shared" si="4"/>
        <v>8824.8851699999996</v>
      </c>
      <c r="Z19" s="373">
        <f t="shared" si="5"/>
        <v>48524.2</v>
      </c>
      <c r="AA19" s="376">
        <f t="shared" si="6"/>
        <v>3275.3834999999999</v>
      </c>
      <c r="AB19" s="373">
        <f t="shared" si="19"/>
        <v>8773.2321699999993</v>
      </c>
      <c r="AC19" s="373">
        <f t="shared" si="20"/>
        <v>60655.25</v>
      </c>
      <c r="AD19" s="376">
        <f t="shared" si="7"/>
        <v>3275.3834999999999</v>
      </c>
      <c r="AE19" s="373">
        <f t="shared" si="21"/>
        <v>8773.2321699999993</v>
      </c>
      <c r="AF19" s="373">
        <f t="shared" si="22"/>
        <v>72786.299999999988</v>
      </c>
      <c r="AG19" s="376">
        <f t="shared" si="39"/>
        <v>3275.3834999999999</v>
      </c>
      <c r="AH19" s="373">
        <f t="shared" si="24"/>
        <v>8773.2321699999993</v>
      </c>
      <c r="AI19" s="373">
        <f t="shared" si="25"/>
        <v>84917.349999999991</v>
      </c>
      <c r="AJ19" s="376">
        <f t="shared" ref="AJ19:AJ26" si="40">H19*0.27</f>
        <v>3275.3834999999999</v>
      </c>
      <c r="AK19" s="373">
        <f t="shared" si="26"/>
        <v>8773.2321699999993</v>
      </c>
      <c r="AL19" s="373">
        <f t="shared" si="8"/>
        <v>97048.4</v>
      </c>
      <c r="AM19" s="377">
        <f>(AL19-88000)*0.35+(88000-AI19)*0.27</f>
        <v>3999.2555000000002</v>
      </c>
      <c r="AN19" s="373">
        <f t="shared" si="27"/>
        <v>8049.360169999999</v>
      </c>
      <c r="AO19" s="373">
        <f t="shared" si="28"/>
        <v>109179.45</v>
      </c>
      <c r="AP19" s="377">
        <f>H19*0.35</f>
        <v>4245.8674999999994</v>
      </c>
      <c r="AQ19" s="373">
        <f t="shared" si="29"/>
        <v>7802.7481699999998</v>
      </c>
      <c r="AR19" s="373">
        <f t="shared" si="30"/>
        <v>121310.5</v>
      </c>
      <c r="AS19" s="377">
        <f>H19*0.35</f>
        <v>4245.8674999999994</v>
      </c>
      <c r="AT19" s="373">
        <f t="shared" si="31"/>
        <v>7802.7481699999998</v>
      </c>
      <c r="AU19" s="373">
        <f t="shared" si="32"/>
        <v>133441.54999999999</v>
      </c>
      <c r="AV19" s="377">
        <f t="shared" si="10"/>
        <v>4245.8674999999994</v>
      </c>
      <c r="AW19" s="373">
        <f t="shared" si="11"/>
        <v>7802.7481699999998</v>
      </c>
      <c r="AX19" s="373">
        <f t="shared" si="12"/>
        <v>145572.59999999998</v>
      </c>
      <c r="AY19" s="377">
        <f t="shared" si="13"/>
        <v>4245.8674999999994</v>
      </c>
      <c r="AZ19" s="373">
        <f t="shared" si="33"/>
        <v>7802.7481699999998</v>
      </c>
      <c r="BA19" s="371"/>
      <c r="BC19" s="358"/>
    </row>
    <row r="20" spans="1:55" s="233" customFormat="1" ht="30" customHeight="1" x14ac:dyDescent="0.45">
      <c r="A20" s="730"/>
      <c r="B20" s="347" t="s">
        <v>238</v>
      </c>
      <c r="C20" s="283">
        <v>300</v>
      </c>
      <c r="D20" s="234">
        <v>4996.0199999999995</v>
      </c>
      <c r="E20" s="238">
        <v>9992.0399999999991</v>
      </c>
      <c r="F20" s="238">
        <f>D20+E20</f>
        <v>14988.059999999998</v>
      </c>
      <c r="G20" s="233">
        <v>359</v>
      </c>
      <c r="H20" s="353">
        <f t="shared" si="34"/>
        <v>10532.3236</v>
      </c>
      <c r="I20" s="463">
        <v>0.59</v>
      </c>
      <c r="J20" s="362">
        <v>7300</v>
      </c>
      <c r="K20" s="361">
        <f t="shared" si="14"/>
        <v>7608.2942709066665</v>
      </c>
      <c r="L20" s="390">
        <v>7282.9930169850659</v>
      </c>
      <c r="M20" s="390">
        <f t="shared" si="15"/>
        <v>-325.30125392160062</v>
      </c>
      <c r="N20" s="390"/>
      <c r="O20" s="390">
        <f t="shared" si="0"/>
        <v>8180.9615816200712</v>
      </c>
      <c r="P20" s="372">
        <f t="shared" si="1"/>
        <v>71.882735760000003</v>
      </c>
      <c r="Q20" s="373">
        <f t="shared" si="16"/>
        <v>10532.3236</v>
      </c>
      <c r="R20" s="378">
        <f>(Q20*0.15)</f>
        <v>1579.84854</v>
      </c>
      <c r="S20" s="373">
        <f t="shared" si="17"/>
        <v>8880.5923242399986</v>
      </c>
      <c r="T20" s="373">
        <f t="shared" si="18"/>
        <v>21064.647199999999</v>
      </c>
      <c r="U20" s="374">
        <f t="shared" ref="U20:U25" si="41">(T20-10000)*0.2+(10000-Q20)*0.15</f>
        <v>2133.0808999999999</v>
      </c>
      <c r="V20" s="373">
        <f t="shared" si="2"/>
        <v>8327.3599642400004</v>
      </c>
      <c r="W20" s="373">
        <f t="shared" si="3"/>
        <v>31596.970799999999</v>
      </c>
      <c r="X20" s="376">
        <f>(W20-25000)*0.27+(25000-T20)*0.2</f>
        <v>2568.2526760000001</v>
      </c>
      <c r="Y20" s="373">
        <f t="shared" si="4"/>
        <v>7892.1881882399994</v>
      </c>
      <c r="Z20" s="373">
        <f t="shared" si="5"/>
        <v>42129.294399999999</v>
      </c>
      <c r="AA20" s="376">
        <f t="shared" si="6"/>
        <v>2843.7273720000003</v>
      </c>
      <c r="AB20" s="373">
        <f t="shared" si="19"/>
        <v>7616.7134922399991</v>
      </c>
      <c r="AC20" s="373">
        <f t="shared" si="20"/>
        <v>52661.618000000002</v>
      </c>
      <c r="AD20" s="376">
        <f t="shared" si="7"/>
        <v>2843.7273720000003</v>
      </c>
      <c r="AE20" s="373">
        <f t="shared" si="21"/>
        <v>7616.7134922399991</v>
      </c>
      <c r="AF20" s="373">
        <f t="shared" si="22"/>
        <v>63193.941599999998</v>
      </c>
      <c r="AG20" s="376">
        <f t="shared" si="39"/>
        <v>2843.7273720000003</v>
      </c>
      <c r="AH20" s="373">
        <f t="shared" si="24"/>
        <v>7616.7134922399991</v>
      </c>
      <c r="AI20" s="373">
        <f t="shared" si="25"/>
        <v>73726.265199999994</v>
      </c>
      <c r="AJ20" s="376">
        <f t="shared" si="40"/>
        <v>2843.7273720000003</v>
      </c>
      <c r="AK20" s="373">
        <f t="shared" si="26"/>
        <v>7616.7134922399991</v>
      </c>
      <c r="AL20" s="373">
        <f t="shared" si="8"/>
        <v>84258.588799999998</v>
      </c>
      <c r="AM20" s="376">
        <f t="shared" ref="AM20:AM27" si="42">H20*0.27</f>
        <v>2843.7273720000003</v>
      </c>
      <c r="AN20" s="373">
        <f t="shared" si="27"/>
        <v>7616.7134922399991</v>
      </c>
      <c r="AO20" s="373">
        <f t="shared" si="28"/>
        <v>94790.912400000001</v>
      </c>
      <c r="AP20" s="376">
        <f t="shared" ref="AP20:AP27" si="43">H20*0.27</f>
        <v>2843.7273720000003</v>
      </c>
      <c r="AQ20" s="373">
        <f t="shared" si="29"/>
        <v>7616.7134922399991</v>
      </c>
      <c r="AR20" s="373">
        <f t="shared" si="30"/>
        <v>105323.236</v>
      </c>
      <c r="AS20" s="377">
        <f>(AR20-88000)*0.35+(88000-AO20)*0.27</f>
        <v>4229.586252000001</v>
      </c>
      <c r="AT20" s="373">
        <f t="shared" si="31"/>
        <v>6230.8546122399985</v>
      </c>
      <c r="AU20" s="373">
        <f t="shared" si="32"/>
        <v>115855.55959999999</v>
      </c>
      <c r="AV20" s="377">
        <f t="shared" si="10"/>
        <v>3686.3132599999994</v>
      </c>
      <c r="AW20" s="373">
        <f t="shared" si="11"/>
        <v>6774.1276042400004</v>
      </c>
      <c r="AX20" s="373">
        <f t="shared" si="12"/>
        <v>126387.8832</v>
      </c>
      <c r="AY20" s="377">
        <f t="shared" si="13"/>
        <v>3686.3132599999994</v>
      </c>
      <c r="AZ20" s="373">
        <f t="shared" si="33"/>
        <v>6774.1276042400004</v>
      </c>
      <c r="BA20" s="371"/>
      <c r="BC20" s="358"/>
    </row>
    <row r="21" spans="1:55" s="233" customFormat="1" ht="30" customHeight="1" x14ac:dyDescent="0.45">
      <c r="A21" s="730"/>
      <c r="B21" s="347" t="s">
        <v>240</v>
      </c>
      <c r="C21" s="283">
        <v>300</v>
      </c>
      <c r="D21" s="234">
        <v>4996.0199999999995</v>
      </c>
      <c r="E21" s="238">
        <v>9992.0399999999991</v>
      </c>
      <c r="F21" s="238">
        <f>D21+E21</f>
        <v>14988.059999999998</v>
      </c>
      <c r="G21" s="233">
        <v>359</v>
      </c>
      <c r="H21" s="353">
        <f t="shared" si="34"/>
        <v>10132.642</v>
      </c>
      <c r="I21" s="363">
        <v>0.55000000000000004</v>
      </c>
      <c r="J21" s="362">
        <v>7100</v>
      </c>
      <c r="K21" s="361">
        <f t="shared" si="14"/>
        <v>7351.1391294666655</v>
      </c>
      <c r="L21" s="390">
        <v>7103.627305830666</v>
      </c>
      <c r="M21" s="390">
        <f t="shared" si="15"/>
        <v>-247.51182363599946</v>
      </c>
      <c r="N21" s="390"/>
      <c r="O21" s="390">
        <f t="shared" si="0"/>
        <v>7904.4506768458768</v>
      </c>
      <c r="P21" s="372">
        <f t="shared" si="1"/>
        <v>69.244837199999992</v>
      </c>
      <c r="Q21" s="373">
        <f t="shared" si="16"/>
        <v>10132.642</v>
      </c>
      <c r="R21" s="378">
        <f>Q21*0.15</f>
        <v>1519.8962999999999</v>
      </c>
      <c r="S21" s="373">
        <f t="shared" si="17"/>
        <v>8543.5008627999996</v>
      </c>
      <c r="T21" s="373">
        <f t="shared" si="18"/>
        <v>20265.284</v>
      </c>
      <c r="U21" s="374">
        <f t="shared" si="41"/>
        <v>2033.1605</v>
      </c>
      <c r="V21" s="373">
        <f t="shared" si="2"/>
        <v>8030.2366628</v>
      </c>
      <c r="W21" s="373">
        <f t="shared" si="3"/>
        <v>30397.925999999999</v>
      </c>
      <c r="X21" s="376">
        <f>(W21-25000)*0.27+(25000-T21)*0.2</f>
        <v>2404.3832200000002</v>
      </c>
      <c r="Y21" s="373">
        <f t="shared" si="4"/>
        <v>7659.0139428000002</v>
      </c>
      <c r="Z21" s="373">
        <f t="shared" si="5"/>
        <v>40530.567999999999</v>
      </c>
      <c r="AA21" s="376">
        <f t="shared" si="6"/>
        <v>2735.8133400000002</v>
      </c>
      <c r="AB21" s="373">
        <f t="shared" si="19"/>
        <v>7327.5838227999993</v>
      </c>
      <c r="AC21" s="373">
        <f t="shared" si="20"/>
        <v>50663.21</v>
      </c>
      <c r="AD21" s="376">
        <f t="shared" si="7"/>
        <v>2735.8133400000002</v>
      </c>
      <c r="AE21" s="373">
        <f t="shared" si="21"/>
        <v>7327.5838227999993</v>
      </c>
      <c r="AF21" s="373">
        <f t="shared" si="22"/>
        <v>60795.851999999999</v>
      </c>
      <c r="AG21" s="376">
        <f t="shared" si="39"/>
        <v>2735.8133400000002</v>
      </c>
      <c r="AH21" s="373">
        <f t="shared" si="24"/>
        <v>7327.5838227999993</v>
      </c>
      <c r="AI21" s="373">
        <f t="shared" si="25"/>
        <v>70928.494000000006</v>
      </c>
      <c r="AJ21" s="376">
        <f t="shared" si="40"/>
        <v>2735.8133400000002</v>
      </c>
      <c r="AK21" s="373">
        <f t="shared" si="26"/>
        <v>7327.5838227999993</v>
      </c>
      <c r="AL21" s="373">
        <f t="shared" si="8"/>
        <v>81061.135999999999</v>
      </c>
      <c r="AM21" s="376">
        <f t="shared" si="42"/>
        <v>2735.8133400000002</v>
      </c>
      <c r="AN21" s="373">
        <f t="shared" si="27"/>
        <v>7327.5838227999993</v>
      </c>
      <c r="AO21" s="373">
        <f t="shared" si="28"/>
        <v>91193.777999999991</v>
      </c>
      <c r="AP21" s="376">
        <f t="shared" si="43"/>
        <v>2735.8133400000002</v>
      </c>
      <c r="AQ21" s="373">
        <f t="shared" si="29"/>
        <v>7327.5838227999993</v>
      </c>
      <c r="AR21" s="373">
        <f t="shared" si="30"/>
        <v>101326.42</v>
      </c>
      <c r="AS21" s="377">
        <f>(AR21-88000)*0.35+(88000-AO21)*0.27</f>
        <v>3801.9269400000017</v>
      </c>
      <c r="AT21" s="373">
        <f t="shared" si="31"/>
        <v>6261.4702227999987</v>
      </c>
      <c r="AU21" s="373">
        <f t="shared" si="32"/>
        <v>111459.06200000001</v>
      </c>
      <c r="AV21" s="377">
        <f t="shared" si="10"/>
        <v>3546.4246999999996</v>
      </c>
      <c r="AW21" s="373">
        <f t="shared" si="11"/>
        <v>6516.9724628000004</v>
      </c>
      <c r="AX21" s="373">
        <f t="shared" si="12"/>
        <v>121591.704</v>
      </c>
      <c r="AY21" s="377">
        <f t="shared" si="13"/>
        <v>3546.4246999999996</v>
      </c>
      <c r="AZ21" s="373">
        <f t="shared" si="33"/>
        <v>6516.9724628000004</v>
      </c>
      <c r="BA21" s="371"/>
      <c r="BC21" s="358"/>
    </row>
    <row r="22" spans="1:55" s="233" customFormat="1" ht="30" customHeight="1" x14ac:dyDescent="0.45">
      <c r="A22" s="730"/>
      <c r="B22" s="347" t="s">
        <v>239</v>
      </c>
      <c r="C22" s="283">
        <v>300</v>
      </c>
      <c r="D22" s="234">
        <v>4996.0199999999995</v>
      </c>
      <c r="E22" s="238">
        <v>9992.0399999999991</v>
      </c>
      <c r="F22" s="238">
        <f>D22+E22</f>
        <v>14988.059999999998</v>
      </c>
      <c r="G22" s="233">
        <v>359</v>
      </c>
      <c r="H22" s="353">
        <f t="shared" si="34"/>
        <v>9732.9603999999999</v>
      </c>
      <c r="I22" s="463">
        <v>0.51</v>
      </c>
      <c r="J22" s="362">
        <v>6900</v>
      </c>
      <c r="K22" s="361">
        <f t="shared" si="14"/>
        <v>7093.9839880266663</v>
      </c>
      <c r="L22" s="390">
        <v>6864.4730242914638</v>
      </c>
      <c r="M22" s="390">
        <f t="shared" si="15"/>
        <v>-229.51096373520249</v>
      </c>
      <c r="N22" s="390"/>
      <c r="O22" s="390">
        <f t="shared" si="0"/>
        <v>7627.9397720716843</v>
      </c>
      <c r="P22" s="372">
        <f t="shared" si="1"/>
        <v>66.606938639999996</v>
      </c>
      <c r="Q22" s="373">
        <f t="shared" si="16"/>
        <v>9732.9603999999999</v>
      </c>
      <c r="R22" s="378">
        <f>Q22*0.15</f>
        <v>1459.94406</v>
      </c>
      <c r="S22" s="373">
        <f t="shared" si="17"/>
        <v>8206.4094013600006</v>
      </c>
      <c r="T22" s="373">
        <f t="shared" si="18"/>
        <v>19465.9208</v>
      </c>
      <c r="U22" s="374">
        <f t="shared" si="41"/>
        <v>1933.2401</v>
      </c>
      <c r="V22" s="373">
        <f t="shared" si="2"/>
        <v>7733.1133613600005</v>
      </c>
      <c r="W22" s="373">
        <f t="shared" si="3"/>
        <v>29198.8812</v>
      </c>
      <c r="X22" s="376">
        <f>(W22-25000)*0.27+(25000-T22)*0.2</f>
        <v>2240.5137640000003</v>
      </c>
      <c r="Y22" s="373">
        <f t="shared" si="4"/>
        <v>7425.8396973600002</v>
      </c>
      <c r="Z22" s="373">
        <f t="shared" si="5"/>
        <v>38931.8416</v>
      </c>
      <c r="AA22" s="376">
        <f t="shared" si="6"/>
        <v>2627.899308</v>
      </c>
      <c r="AB22" s="373">
        <f t="shared" si="19"/>
        <v>7038.4541533600004</v>
      </c>
      <c r="AC22" s="373">
        <f t="shared" si="20"/>
        <v>48664.801999999996</v>
      </c>
      <c r="AD22" s="376">
        <f t="shared" si="7"/>
        <v>2627.899308</v>
      </c>
      <c r="AE22" s="373">
        <f t="shared" si="21"/>
        <v>7038.4541533600004</v>
      </c>
      <c r="AF22" s="373">
        <f t="shared" si="22"/>
        <v>58397.7624</v>
      </c>
      <c r="AG22" s="376">
        <f t="shared" si="39"/>
        <v>2627.899308</v>
      </c>
      <c r="AH22" s="373">
        <f t="shared" si="24"/>
        <v>7038.4541533600004</v>
      </c>
      <c r="AI22" s="373">
        <f t="shared" si="25"/>
        <v>68130.722800000003</v>
      </c>
      <c r="AJ22" s="376">
        <f t="shared" si="40"/>
        <v>2627.899308</v>
      </c>
      <c r="AK22" s="373">
        <f t="shared" si="26"/>
        <v>7038.4541533600004</v>
      </c>
      <c r="AL22" s="373">
        <f t="shared" si="8"/>
        <v>77863.683199999999</v>
      </c>
      <c r="AM22" s="376">
        <f t="shared" si="42"/>
        <v>2627.899308</v>
      </c>
      <c r="AN22" s="373">
        <f t="shared" si="27"/>
        <v>7038.4541533600004</v>
      </c>
      <c r="AO22" s="373">
        <f t="shared" si="28"/>
        <v>87596.643599999996</v>
      </c>
      <c r="AP22" s="376">
        <f t="shared" si="43"/>
        <v>2627.899308</v>
      </c>
      <c r="AQ22" s="373">
        <f t="shared" si="29"/>
        <v>7038.4541533600004</v>
      </c>
      <c r="AR22" s="373">
        <f t="shared" si="30"/>
        <v>97329.603999999992</v>
      </c>
      <c r="AS22" s="377">
        <f>(AR22-88000)*0.35+(88000-AO22)*0.27</f>
        <v>3374.2676279999982</v>
      </c>
      <c r="AT22" s="373">
        <f t="shared" si="31"/>
        <v>6292.0858333600027</v>
      </c>
      <c r="AU22" s="373">
        <f t="shared" si="32"/>
        <v>107062.5644</v>
      </c>
      <c r="AV22" s="377">
        <f t="shared" si="10"/>
        <v>3406.5361399999997</v>
      </c>
      <c r="AW22" s="373">
        <f t="shared" si="11"/>
        <v>6259.8173213600003</v>
      </c>
      <c r="AX22" s="373">
        <f t="shared" si="12"/>
        <v>116795.5248</v>
      </c>
      <c r="AY22" s="377">
        <f t="shared" si="13"/>
        <v>3406.5361399999997</v>
      </c>
      <c r="AZ22" s="373">
        <f t="shared" si="33"/>
        <v>6259.8173213600003</v>
      </c>
      <c r="BA22" s="371"/>
      <c r="BC22" s="358"/>
    </row>
    <row r="23" spans="1:55" s="233" customFormat="1" ht="30" customHeight="1" x14ac:dyDescent="0.45">
      <c r="A23" s="730"/>
      <c r="B23" s="392" t="s">
        <v>216</v>
      </c>
      <c r="C23" s="231">
        <v>300</v>
      </c>
      <c r="D23" s="234">
        <v>4996.0199999999995</v>
      </c>
      <c r="E23" s="234">
        <v>9992.0399999999991</v>
      </c>
      <c r="F23" s="234">
        <f>D23+E23</f>
        <v>14988.059999999998</v>
      </c>
      <c r="G23" s="233">
        <v>359</v>
      </c>
      <c r="H23" s="353">
        <f t="shared" si="34"/>
        <v>6435.587199999999</v>
      </c>
      <c r="I23" s="464">
        <v>0.18</v>
      </c>
      <c r="J23" s="362">
        <v>4900</v>
      </c>
      <c r="K23" s="361">
        <f t="shared" si="14"/>
        <v>4900.634380479999</v>
      </c>
      <c r="L23" s="390">
        <v>4809.5585346064008</v>
      </c>
      <c r="M23" s="390">
        <f t="shared" si="15"/>
        <v>-91.075845873598155</v>
      </c>
      <c r="N23" s="390"/>
      <c r="O23" s="390">
        <f t="shared" si="0"/>
        <v>5269.4993338494614</v>
      </c>
      <c r="P23" s="372">
        <f t="shared" si="1"/>
        <v>44.844275519999997</v>
      </c>
      <c r="Q23" s="373">
        <f t="shared" si="16"/>
        <v>6435.587199999999</v>
      </c>
      <c r="R23" s="378">
        <f>Q23*0.15</f>
        <v>965.33807999999976</v>
      </c>
      <c r="S23" s="373">
        <f t="shared" si="17"/>
        <v>5425.4048444799992</v>
      </c>
      <c r="T23" s="373">
        <f t="shared" si="18"/>
        <v>12871.174399999998</v>
      </c>
      <c r="U23" s="374">
        <f t="shared" si="41"/>
        <v>1108.8967999999998</v>
      </c>
      <c r="V23" s="373">
        <f t="shared" si="2"/>
        <v>5281.8461244799992</v>
      </c>
      <c r="W23" s="373">
        <f t="shared" si="3"/>
        <v>19306.761599999998</v>
      </c>
      <c r="X23" s="374">
        <f>H23*0.2</f>
        <v>1287.11744</v>
      </c>
      <c r="Y23" s="373">
        <f t="shared" si="4"/>
        <v>5103.6254844799987</v>
      </c>
      <c r="Z23" s="373">
        <f t="shared" si="5"/>
        <v>25742.348799999996</v>
      </c>
      <c r="AA23" s="374">
        <f>H23*0.2</f>
        <v>1287.11744</v>
      </c>
      <c r="AB23" s="373">
        <f t="shared" si="19"/>
        <v>5103.6254844799987</v>
      </c>
      <c r="AC23" s="373">
        <f t="shared" si="20"/>
        <v>32177.935999999994</v>
      </c>
      <c r="AD23" s="376">
        <f>(AC23-25000)*0.27+(25000-Z23)*0.2</f>
        <v>1789.5729599999993</v>
      </c>
      <c r="AE23" s="373">
        <f t="shared" si="21"/>
        <v>4601.1699644799992</v>
      </c>
      <c r="AF23" s="373">
        <f t="shared" si="22"/>
        <v>38613.523199999996</v>
      </c>
      <c r="AG23" s="376">
        <f t="shared" si="39"/>
        <v>1737.6085439999999</v>
      </c>
      <c r="AH23" s="373">
        <f t="shared" si="24"/>
        <v>4653.134380479999</v>
      </c>
      <c r="AI23" s="373">
        <f t="shared" si="25"/>
        <v>45049.11039999999</v>
      </c>
      <c r="AJ23" s="376">
        <f t="shared" si="40"/>
        <v>1737.6085439999999</v>
      </c>
      <c r="AK23" s="373">
        <f t="shared" si="26"/>
        <v>4653.134380479999</v>
      </c>
      <c r="AL23" s="373">
        <f t="shared" si="8"/>
        <v>51484.697599999992</v>
      </c>
      <c r="AM23" s="376">
        <f t="shared" si="42"/>
        <v>1737.6085439999999</v>
      </c>
      <c r="AN23" s="373">
        <f t="shared" si="27"/>
        <v>4653.134380479999</v>
      </c>
      <c r="AO23" s="373">
        <f t="shared" si="28"/>
        <v>57920.284799999994</v>
      </c>
      <c r="AP23" s="376">
        <f t="shared" si="43"/>
        <v>1737.6085439999999</v>
      </c>
      <c r="AQ23" s="373">
        <f t="shared" si="29"/>
        <v>4653.134380479999</v>
      </c>
      <c r="AR23" s="373">
        <f t="shared" si="30"/>
        <v>64355.871999999988</v>
      </c>
      <c r="AS23" s="376">
        <f>H23*0.27</f>
        <v>1737.6085439999999</v>
      </c>
      <c r="AT23" s="373">
        <f t="shared" si="31"/>
        <v>4653.134380479999</v>
      </c>
      <c r="AU23" s="373">
        <f t="shared" si="32"/>
        <v>70791.459199999983</v>
      </c>
      <c r="AV23" s="376">
        <f>H23*0.27</f>
        <v>1737.6085439999999</v>
      </c>
      <c r="AW23" s="373">
        <f t="shared" si="11"/>
        <v>4653.134380479999</v>
      </c>
      <c r="AX23" s="373">
        <f t="shared" si="12"/>
        <v>77227.046399999992</v>
      </c>
      <c r="AY23" s="376">
        <f t="shared" ref="AY23:AY27" si="44">H23*0.27</f>
        <v>1737.6085439999999</v>
      </c>
      <c r="AZ23" s="373">
        <f t="shared" si="33"/>
        <v>4653.134380479999</v>
      </c>
      <c r="BA23" s="371"/>
      <c r="BC23" s="358"/>
    </row>
    <row r="24" spans="1:55" s="380" customFormat="1" ht="30" customHeight="1" x14ac:dyDescent="0.45">
      <c r="A24" s="731" t="s">
        <v>172</v>
      </c>
      <c r="B24" s="549" t="s">
        <v>282</v>
      </c>
      <c r="C24" s="550">
        <v>125</v>
      </c>
      <c r="D24" s="468">
        <v>3330.68</v>
      </c>
      <c r="E24" s="468">
        <v>4163.3499999999995</v>
      </c>
      <c r="F24" s="468">
        <f t="shared" ref="F24:F27" si="45">D24+E24</f>
        <v>7494.0299999999988</v>
      </c>
      <c r="G24" s="380">
        <v>359</v>
      </c>
      <c r="H24" s="469">
        <f t="shared" si="34"/>
        <v>6843.5954999999994</v>
      </c>
      <c r="I24" s="463">
        <v>0.93</v>
      </c>
      <c r="J24" s="470">
        <v>5000</v>
      </c>
      <c r="K24" s="361">
        <f t="shared" si="14"/>
        <v>5195.7875846999987</v>
      </c>
      <c r="L24" s="471">
        <v>4943.7026541570003</v>
      </c>
      <c r="M24" s="471">
        <f t="shared" si="15"/>
        <v>-252.08493054299834</v>
      </c>
      <c r="N24" s="471"/>
      <c r="O24" s="471">
        <f t="shared" si="0"/>
        <v>5586.8683706451593</v>
      </c>
      <c r="P24" s="472">
        <f t="shared" si="1"/>
        <v>47.537130299999994</v>
      </c>
      <c r="Q24" s="373">
        <f t="shared" si="16"/>
        <v>6843.5954999999994</v>
      </c>
      <c r="R24" s="551">
        <f t="shared" ref="R24:R28" si="46">Q24*0.15</f>
        <v>1026.539325</v>
      </c>
      <c r="S24" s="473">
        <f t="shared" si="17"/>
        <v>5769.5190446999995</v>
      </c>
      <c r="T24" s="373">
        <f t="shared" si="18"/>
        <v>13687.190999999999</v>
      </c>
      <c r="U24" s="381">
        <f t="shared" si="41"/>
        <v>1210.8988749999999</v>
      </c>
      <c r="V24" s="473">
        <f t="shared" si="2"/>
        <v>5585.1594946999994</v>
      </c>
      <c r="W24" s="473">
        <f t="shared" si="3"/>
        <v>20530.786499999998</v>
      </c>
      <c r="X24" s="381">
        <f>H24*0.2</f>
        <v>1368.7191</v>
      </c>
      <c r="Y24" s="473">
        <f t="shared" si="4"/>
        <v>5427.339269699999</v>
      </c>
      <c r="Z24" s="473">
        <f t="shared" si="5"/>
        <v>27374.381999999998</v>
      </c>
      <c r="AA24" s="382">
        <f>(Z24-25000)*0.27+(25000-W24)*0.2</f>
        <v>1534.9258399999999</v>
      </c>
      <c r="AB24" s="473">
        <f t="shared" si="19"/>
        <v>5261.1325296999994</v>
      </c>
      <c r="AC24" s="473">
        <f t="shared" si="20"/>
        <v>34217.977499999994</v>
      </c>
      <c r="AD24" s="382">
        <f t="shared" si="7"/>
        <v>1847.7707849999999</v>
      </c>
      <c r="AE24" s="473">
        <f t="shared" si="21"/>
        <v>4948.2875846999996</v>
      </c>
      <c r="AF24" s="473">
        <f t="shared" si="22"/>
        <v>41061.572999999997</v>
      </c>
      <c r="AG24" s="382">
        <f t="shared" si="39"/>
        <v>1847.7707849999999</v>
      </c>
      <c r="AH24" s="473">
        <f t="shared" si="24"/>
        <v>4948.2875846999996</v>
      </c>
      <c r="AI24" s="473">
        <f t="shared" si="25"/>
        <v>47905.1685</v>
      </c>
      <c r="AJ24" s="382">
        <f t="shared" si="40"/>
        <v>1847.7707849999999</v>
      </c>
      <c r="AK24" s="473">
        <f t="shared" si="26"/>
        <v>4948.2875846999996</v>
      </c>
      <c r="AL24" s="473">
        <f t="shared" si="8"/>
        <v>54748.763999999996</v>
      </c>
      <c r="AM24" s="382">
        <f t="shared" si="42"/>
        <v>1847.7707849999999</v>
      </c>
      <c r="AN24" s="473">
        <f t="shared" si="27"/>
        <v>4948.2875846999996</v>
      </c>
      <c r="AO24" s="473">
        <f t="shared" si="28"/>
        <v>61592.359499999991</v>
      </c>
      <c r="AP24" s="382">
        <f t="shared" si="43"/>
        <v>1847.7707849999999</v>
      </c>
      <c r="AQ24" s="473">
        <f t="shared" si="29"/>
        <v>4948.2875846999996</v>
      </c>
      <c r="AR24" s="473">
        <f t="shared" si="30"/>
        <v>68435.954999999987</v>
      </c>
      <c r="AS24" s="382">
        <f>H24*0.27</f>
        <v>1847.7707849999999</v>
      </c>
      <c r="AT24" s="473">
        <f t="shared" si="31"/>
        <v>4948.2875846999996</v>
      </c>
      <c r="AU24" s="473">
        <f t="shared" si="32"/>
        <v>75279.550499999998</v>
      </c>
      <c r="AV24" s="382">
        <f>H24*0.27</f>
        <v>1847.7707849999999</v>
      </c>
      <c r="AW24" s="473">
        <f t="shared" si="11"/>
        <v>4948.2875846999996</v>
      </c>
      <c r="AX24" s="473">
        <f t="shared" si="12"/>
        <v>82123.145999999993</v>
      </c>
      <c r="AY24" s="382">
        <f t="shared" si="44"/>
        <v>1847.7707849999999</v>
      </c>
      <c r="AZ24" s="473">
        <f t="shared" si="33"/>
        <v>4948.2875846999996</v>
      </c>
      <c r="BA24" s="566"/>
      <c r="BC24" s="552"/>
    </row>
    <row r="25" spans="1:55" s="380" customFormat="1" ht="30" customHeight="1" x14ac:dyDescent="0.45">
      <c r="A25" s="732"/>
      <c r="B25" s="549" t="s">
        <v>281</v>
      </c>
      <c r="C25" s="550">
        <v>125</v>
      </c>
      <c r="D25" s="468">
        <v>3330.68</v>
      </c>
      <c r="E25" s="468">
        <v>4163.3499999999995</v>
      </c>
      <c r="F25" s="468">
        <f t="shared" si="45"/>
        <v>7494.0299999999988</v>
      </c>
      <c r="G25" s="380">
        <v>359</v>
      </c>
      <c r="H25" s="469">
        <f t="shared" si="34"/>
        <v>6094.1924999999992</v>
      </c>
      <c r="I25" s="463">
        <v>0.75</v>
      </c>
      <c r="J25" s="470">
        <v>4500</v>
      </c>
      <c r="K25" s="361">
        <f t="shared" si="14"/>
        <v>4653.6694545</v>
      </c>
      <c r="L25" s="471">
        <v>4497.2282059364989</v>
      </c>
      <c r="M25" s="471">
        <f t="shared" si="15"/>
        <v>-156.44124856350118</v>
      </c>
      <c r="N25" s="471"/>
      <c r="O25" s="471">
        <f t="shared" si="0"/>
        <v>5003.9456499999997</v>
      </c>
      <c r="P25" s="472">
        <f t="shared" si="1"/>
        <v>42.591070499999994</v>
      </c>
      <c r="Q25" s="373">
        <f t="shared" si="16"/>
        <v>6094.1924999999992</v>
      </c>
      <c r="R25" s="551">
        <f t="shared" si="46"/>
        <v>914.12887499999988</v>
      </c>
      <c r="S25" s="473">
        <f t="shared" si="17"/>
        <v>5137.4725545000001</v>
      </c>
      <c r="T25" s="373">
        <f t="shared" si="18"/>
        <v>12188.384999999998</v>
      </c>
      <c r="U25" s="381">
        <f t="shared" si="41"/>
        <v>1023.5481249999998</v>
      </c>
      <c r="V25" s="473">
        <f t="shared" si="2"/>
        <v>5028.0533044999993</v>
      </c>
      <c r="W25" s="473">
        <f t="shared" si="3"/>
        <v>18282.577499999999</v>
      </c>
      <c r="X25" s="381">
        <f>H25*0.2</f>
        <v>1218.8384999999998</v>
      </c>
      <c r="Y25" s="473">
        <f t="shared" si="4"/>
        <v>4832.7629294999997</v>
      </c>
      <c r="Z25" s="473">
        <f t="shared" si="5"/>
        <v>24376.769999999997</v>
      </c>
      <c r="AA25" s="381">
        <f>H25*0.2</f>
        <v>1218.8384999999998</v>
      </c>
      <c r="AB25" s="473">
        <f t="shared" si="19"/>
        <v>4832.7629294999997</v>
      </c>
      <c r="AC25" s="473">
        <f t="shared" si="20"/>
        <v>30470.962499999994</v>
      </c>
      <c r="AD25" s="382">
        <f>(AC25-25000)*0.27+(25000-Z25)*0.2</f>
        <v>1601.8058749999991</v>
      </c>
      <c r="AE25" s="473">
        <f t="shared" si="21"/>
        <v>4449.7955545000004</v>
      </c>
      <c r="AF25" s="473">
        <f t="shared" si="22"/>
        <v>36565.154999999999</v>
      </c>
      <c r="AG25" s="382">
        <f t="shared" si="39"/>
        <v>1645.431975</v>
      </c>
      <c r="AH25" s="473">
        <f t="shared" si="24"/>
        <v>4406.1694544999991</v>
      </c>
      <c r="AI25" s="473">
        <f t="shared" si="25"/>
        <v>42659.347499999996</v>
      </c>
      <c r="AJ25" s="382">
        <f t="shared" si="40"/>
        <v>1645.431975</v>
      </c>
      <c r="AK25" s="473">
        <f t="shared" si="26"/>
        <v>4406.1694544999991</v>
      </c>
      <c r="AL25" s="473">
        <f t="shared" si="8"/>
        <v>48753.539999999994</v>
      </c>
      <c r="AM25" s="382">
        <f t="shared" si="42"/>
        <v>1645.431975</v>
      </c>
      <c r="AN25" s="473">
        <f t="shared" si="27"/>
        <v>4406.1694544999991</v>
      </c>
      <c r="AO25" s="473">
        <f t="shared" si="28"/>
        <v>54847.732499999991</v>
      </c>
      <c r="AP25" s="382">
        <f t="shared" si="43"/>
        <v>1645.431975</v>
      </c>
      <c r="AQ25" s="473">
        <f t="shared" si="29"/>
        <v>4406.1694544999991</v>
      </c>
      <c r="AR25" s="473">
        <f t="shared" si="30"/>
        <v>60941.924999999988</v>
      </c>
      <c r="AS25" s="382">
        <f>H25*0.27</f>
        <v>1645.431975</v>
      </c>
      <c r="AT25" s="473">
        <f t="shared" si="31"/>
        <v>4406.1694544999991</v>
      </c>
      <c r="AU25" s="473">
        <f t="shared" si="32"/>
        <v>67036.117499999993</v>
      </c>
      <c r="AV25" s="382">
        <f>H25*0.27</f>
        <v>1645.431975</v>
      </c>
      <c r="AW25" s="473">
        <f t="shared" si="11"/>
        <v>4406.1694544999991</v>
      </c>
      <c r="AX25" s="473">
        <f t="shared" si="12"/>
        <v>73130.31</v>
      </c>
      <c r="AY25" s="382">
        <f t="shared" si="44"/>
        <v>1645.431975</v>
      </c>
      <c r="AZ25" s="473">
        <f t="shared" si="33"/>
        <v>4406.1694544999991</v>
      </c>
      <c r="BA25" s="566"/>
      <c r="BC25" s="552"/>
    </row>
    <row r="26" spans="1:55" s="233" customFormat="1" ht="30" customHeight="1" x14ac:dyDescent="0.45">
      <c r="A26" s="732"/>
      <c r="B26" s="392" t="s">
        <v>241</v>
      </c>
      <c r="C26" s="235">
        <v>125</v>
      </c>
      <c r="D26" s="234">
        <v>3330.68</v>
      </c>
      <c r="E26" s="234">
        <v>4163.3499999999995</v>
      </c>
      <c r="F26" s="234">
        <f t="shared" si="45"/>
        <v>7494.0299999999988</v>
      </c>
      <c r="G26" s="233">
        <v>278</v>
      </c>
      <c r="H26" s="353">
        <f>D26+E26*$H$5*$I26-G26</f>
        <v>5217.6219999999994</v>
      </c>
      <c r="I26" s="391">
        <v>0.52</v>
      </c>
      <c r="J26" s="362">
        <v>4000</v>
      </c>
      <c r="K26" s="361">
        <f t="shared" si="14"/>
        <v>4021.9064714666656</v>
      </c>
      <c r="L26" s="390">
        <v>3910.4646218039993</v>
      </c>
      <c r="M26" s="390">
        <f t="shared" si="15"/>
        <v>-111.4418496626663</v>
      </c>
      <c r="N26" s="390"/>
      <c r="O26" s="390">
        <f t="shared" si="0"/>
        <v>4324.6306144802857</v>
      </c>
      <c r="P26" s="372">
        <f t="shared" si="1"/>
        <v>36.271105199999994</v>
      </c>
      <c r="Q26" s="373">
        <f t="shared" si="16"/>
        <v>5217.6219999999994</v>
      </c>
      <c r="R26" s="378">
        <f t="shared" si="46"/>
        <v>782.64329999999984</v>
      </c>
      <c r="S26" s="373">
        <f t="shared" si="17"/>
        <v>4398.7075947999992</v>
      </c>
      <c r="T26" s="373">
        <f t="shared" si="18"/>
        <v>10435.243999999999</v>
      </c>
      <c r="U26" s="378">
        <f>H26*0.15</f>
        <v>782.64329999999984</v>
      </c>
      <c r="V26" s="373">
        <f t="shared" si="2"/>
        <v>4398.7075947999992</v>
      </c>
      <c r="W26" s="373">
        <f t="shared" si="3"/>
        <v>15652.865999999998</v>
      </c>
      <c r="X26" s="374">
        <f>H26*0.2</f>
        <v>1043.5244</v>
      </c>
      <c r="Y26" s="373">
        <f t="shared" si="4"/>
        <v>4137.8264947999987</v>
      </c>
      <c r="Z26" s="373">
        <f t="shared" si="5"/>
        <v>20870.487999999998</v>
      </c>
      <c r="AA26" s="374">
        <f>H26*0.2</f>
        <v>1043.5244</v>
      </c>
      <c r="AB26" s="373">
        <f t="shared" si="19"/>
        <v>4137.8264947999987</v>
      </c>
      <c r="AC26" s="373">
        <f t="shared" si="20"/>
        <v>26088.109999999997</v>
      </c>
      <c r="AD26" s="374">
        <f>H26*0.2</f>
        <v>1043.5244</v>
      </c>
      <c r="AE26" s="373">
        <f t="shared" si="21"/>
        <v>4137.8264947999987</v>
      </c>
      <c r="AF26" s="373">
        <f t="shared" si="22"/>
        <v>31305.731999999996</v>
      </c>
      <c r="AG26" s="376">
        <f>(AF26-25000)*0.27+(25000-AC26)*0.2</f>
        <v>1484.9256399999997</v>
      </c>
      <c r="AH26" s="373">
        <f t="shared" si="24"/>
        <v>3696.4252547999995</v>
      </c>
      <c r="AI26" s="373">
        <f t="shared" si="25"/>
        <v>36523.353999999992</v>
      </c>
      <c r="AJ26" s="376">
        <f t="shared" si="40"/>
        <v>1408.75794</v>
      </c>
      <c r="AK26" s="373">
        <f t="shared" si="26"/>
        <v>3772.592954799999</v>
      </c>
      <c r="AL26" s="373">
        <f t="shared" si="8"/>
        <v>41740.975999999995</v>
      </c>
      <c r="AM26" s="376">
        <f t="shared" si="42"/>
        <v>1408.75794</v>
      </c>
      <c r="AN26" s="373">
        <f t="shared" si="27"/>
        <v>3772.592954799999</v>
      </c>
      <c r="AO26" s="373">
        <f t="shared" si="28"/>
        <v>46958.597999999998</v>
      </c>
      <c r="AP26" s="376">
        <f t="shared" si="43"/>
        <v>1408.75794</v>
      </c>
      <c r="AQ26" s="373">
        <f t="shared" si="29"/>
        <v>3772.592954799999</v>
      </c>
      <c r="AR26" s="373">
        <f t="shared" si="30"/>
        <v>52176.219999999994</v>
      </c>
      <c r="AS26" s="376">
        <f>H26*0.27</f>
        <v>1408.75794</v>
      </c>
      <c r="AT26" s="373">
        <f t="shared" si="31"/>
        <v>3772.592954799999</v>
      </c>
      <c r="AU26" s="373">
        <f t="shared" si="32"/>
        <v>57393.84199999999</v>
      </c>
      <c r="AV26" s="376">
        <f>H26*0.27</f>
        <v>1408.75794</v>
      </c>
      <c r="AW26" s="373">
        <f t="shared" si="11"/>
        <v>3772.592954799999</v>
      </c>
      <c r="AX26" s="373">
        <f t="shared" si="12"/>
        <v>62611.463999999993</v>
      </c>
      <c r="AY26" s="376">
        <f t="shared" si="44"/>
        <v>1408.75794</v>
      </c>
      <c r="AZ26" s="373">
        <f t="shared" si="33"/>
        <v>3772.592954799999</v>
      </c>
      <c r="BA26" s="371"/>
      <c r="BC26" s="358"/>
    </row>
    <row r="27" spans="1:55" s="233" customFormat="1" ht="30" customHeight="1" x14ac:dyDescent="0.45">
      <c r="A27" s="733"/>
      <c r="B27" s="392" t="s">
        <v>198</v>
      </c>
      <c r="C27" s="317">
        <v>125</v>
      </c>
      <c r="D27" s="238">
        <v>3330.68</v>
      </c>
      <c r="E27" s="238">
        <v>4163.3499999999995</v>
      </c>
      <c r="F27" s="238">
        <f t="shared" si="45"/>
        <v>7494.0299999999988</v>
      </c>
      <c r="G27" s="233">
        <v>278</v>
      </c>
      <c r="H27" s="353">
        <f t="shared" si="34"/>
        <v>3802.0829999999996</v>
      </c>
      <c r="I27" s="391">
        <v>0.18</v>
      </c>
      <c r="J27" s="362">
        <v>3000</v>
      </c>
      <c r="K27" s="361">
        <f t="shared" si="14"/>
        <v>2996.0920421999995</v>
      </c>
      <c r="L27" s="390">
        <v>2958.1437730859993</v>
      </c>
      <c r="M27" s="390">
        <f t="shared" si="15"/>
        <v>-37.948269114000141</v>
      </c>
      <c r="N27" s="390"/>
      <c r="O27" s="390">
        <f t="shared" si="0"/>
        <v>3221.6043464516119</v>
      </c>
      <c r="P27" s="372">
        <f t="shared" si="1"/>
        <v>26.928547799999997</v>
      </c>
      <c r="Q27" s="373">
        <f t="shared" si="16"/>
        <v>3802.0829999999996</v>
      </c>
      <c r="R27" s="378">
        <f t="shared" si="46"/>
        <v>570.3124499999999</v>
      </c>
      <c r="S27" s="373">
        <f t="shared" si="17"/>
        <v>3204.8420021999996</v>
      </c>
      <c r="T27" s="373">
        <f t="shared" si="18"/>
        <v>7604.1659999999993</v>
      </c>
      <c r="U27" s="378">
        <f>H27*0.15</f>
        <v>570.3124499999999</v>
      </c>
      <c r="V27" s="373">
        <f t="shared" si="2"/>
        <v>3204.8420021999996</v>
      </c>
      <c r="W27" s="373">
        <f t="shared" si="3"/>
        <v>11406.249</v>
      </c>
      <c r="X27" s="374">
        <f>(W27-10000)*0.2+(10000-T27)*0.15</f>
        <v>640.62490000000003</v>
      </c>
      <c r="Y27" s="373">
        <f t="shared" si="4"/>
        <v>3134.5295521999997</v>
      </c>
      <c r="Z27" s="373">
        <f t="shared" si="5"/>
        <v>15208.331999999999</v>
      </c>
      <c r="AA27" s="374">
        <f>H27*0.2</f>
        <v>760.41660000000002</v>
      </c>
      <c r="AB27" s="373">
        <f t="shared" si="19"/>
        <v>3014.7378521999995</v>
      </c>
      <c r="AC27" s="373">
        <f t="shared" si="20"/>
        <v>19010.414999999997</v>
      </c>
      <c r="AD27" s="374">
        <f>H27*0.2</f>
        <v>760.41660000000002</v>
      </c>
      <c r="AE27" s="373">
        <f t="shared" si="21"/>
        <v>3014.7378521999995</v>
      </c>
      <c r="AF27" s="373">
        <f t="shared" si="22"/>
        <v>22812.498</v>
      </c>
      <c r="AG27" s="374">
        <f>H27*0.2</f>
        <v>760.41660000000002</v>
      </c>
      <c r="AH27" s="373">
        <f t="shared" si="24"/>
        <v>3014.7378521999995</v>
      </c>
      <c r="AI27" s="373">
        <f t="shared" si="25"/>
        <v>26614.580999999998</v>
      </c>
      <c r="AJ27" s="376">
        <f>(AI27-25000)*0.27+(25000-AF27)*0.2</f>
        <v>873.43726999999967</v>
      </c>
      <c r="AK27" s="373">
        <f t="shared" si="26"/>
        <v>2901.7171822</v>
      </c>
      <c r="AL27" s="373">
        <f t="shared" si="8"/>
        <v>30416.663999999997</v>
      </c>
      <c r="AM27" s="376">
        <f t="shared" si="42"/>
        <v>1026.56241</v>
      </c>
      <c r="AN27" s="373">
        <f t="shared" si="27"/>
        <v>2748.5920421999995</v>
      </c>
      <c r="AO27" s="373">
        <f t="shared" si="28"/>
        <v>34218.746999999996</v>
      </c>
      <c r="AP27" s="376">
        <f t="shared" si="43"/>
        <v>1026.56241</v>
      </c>
      <c r="AQ27" s="373">
        <f t="shared" si="29"/>
        <v>2748.5920421999995</v>
      </c>
      <c r="AR27" s="373">
        <f t="shared" si="30"/>
        <v>38020.829999999994</v>
      </c>
      <c r="AS27" s="376">
        <f>H27*0.27</f>
        <v>1026.56241</v>
      </c>
      <c r="AT27" s="373">
        <f t="shared" si="31"/>
        <v>2748.5920421999995</v>
      </c>
      <c r="AU27" s="373">
        <f t="shared" si="32"/>
        <v>41822.912999999993</v>
      </c>
      <c r="AV27" s="376">
        <f>H27*0.27</f>
        <v>1026.56241</v>
      </c>
      <c r="AW27" s="373">
        <f t="shared" si="11"/>
        <v>2748.5920421999995</v>
      </c>
      <c r="AX27" s="373">
        <f t="shared" si="12"/>
        <v>45624.995999999999</v>
      </c>
      <c r="AY27" s="376">
        <f t="shared" si="44"/>
        <v>1026.56241</v>
      </c>
      <c r="AZ27" s="373">
        <f t="shared" si="33"/>
        <v>2748.5920421999995</v>
      </c>
      <c r="BA27" s="371"/>
      <c r="BC27" s="358"/>
    </row>
    <row r="28" spans="1:55" s="233" customFormat="1" ht="28.5" x14ac:dyDescent="0.45">
      <c r="A28" s="754" t="s">
        <v>171</v>
      </c>
      <c r="B28" s="754"/>
      <c r="C28" s="235">
        <v>50</v>
      </c>
      <c r="D28" s="234">
        <v>1665.34</v>
      </c>
      <c r="E28" s="234">
        <v>1665.34</v>
      </c>
      <c r="F28" s="234">
        <f>D28+E28</f>
        <v>3330.68</v>
      </c>
      <c r="G28" s="233">
        <v>278</v>
      </c>
      <c r="H28" s="353">
        <f t="shared" si="34"/>
        <v>2286.6235999999999</v>
      </c>
      <c r="I28" s="391">
        <v>0.54</v>
      </c>
      <c r="J28" s="362">
        <v>1795</v>
      </c>
      <c r="K28" s="361">
        <f t="shared" si="14"/>
        <v>1899.80871224</v>
      </c>
      <c r="L28" s="390">
        <v>1854.2707893032</v>
      </c>
      <c r="M28" s="390">
        <f t="shared" si="15"/>
        <v>-45.537922936799987</v>
      </c>
      <c r="N28" s="390"/>
      <c r="O28" s="390">
        <f t="shared" si="0"/>
        <v>2042.8050669247311</v>
      </c>
      <c r="P28" s="372">
        <f t="shared" si="1"/>
        <v>16.926515760000001</v>
      </c>
      <c r="Q28" s="373">
        <f t="shared" si="16"/>
        <v>2286.6235999999999</v>
      </c>
      <c r="R28" s="378">
        <f t="shared" si="46"/>
        <v>342.99354</v>
      </c>
      <c r="S28" s="373">
        <f t="shared" si="17"/>
        <v>1926.7035442400002</v>
      </c>
      <c r="T28" s="373">
        <f t="shared" si="18"/>
        <v>4573.2471999999998</v>
      </c>
      <c r="U28" s="378">
        <f>H28*0.15</f>
        <v>342.99354</v>
      </c>
      <c r="V28" s="373">
        <f t="shared" si="2"/>
        <v>1926.7035442400002</v>
      </c>
      <c r="W28" s="373">
        <f t="shared" si="3"/>
        <v>6859.8707999999997</v>
      </c>
      <c r="X28" s="378">
        <f>H28*0.15</f>
        <v>342.99354</v>
      </c>
      <c r="Y28" s="373">
        <f t="shared" si="4"/>
        <v>1926.7035442400002</v>
      </c>
      <c r="Z28" s="373">
        <f t="shared" si="5"/>
        <v>9146.4943999999996</v>
      </c>
      <c r="AA28" s="378">
        <f>H28*0.15</f>
        <v>342.99354</v>
      </c>
      <c r="AB28" s="373">
        <f t="shared" si="19"/>
        <v>1926.7035442400002</v>
      </c>
      <c r="AC28" s="373">
        <f t="shared" si="20"/>
        <v>11433.117999999999</v>
      </c>
      <c r="AD28" s="374">
        <f>(AC28-10000)*0.2+(10000-Z28)*0.15</f>
        <v>414.6494399999998</v>
      </c>
      <c r="AE28" s="373">
        <f t="shared" si="21"/>
        <v>1855.0476442400004</v>
      </c>
      <c r="AF28" s="373">
        <f t="shared" si="22"/>
        <v>13719.741599999999</v>
      </c>
      <c r="AG28" s="374">
        <f>H28*0.2</f>
        <v>457.32472000000001</v>
      </c>
      <c r="AH28" s="373">
        <f t="shared" si="24"/>
        <v>1812.37236424</v>
      </c>
      <c r="AI28" s="373">
        <f t="shared" si="25"/>
        <v>16006.3652</v>
      </c>
      <c r="AJ28" s="374">
        <f>H28*0.2</f>
        <v>457.32472000000001</v>
      </c>
      <c r="AK28" s="373">
        <f t="shared" si="26"/>
        <v>1812.37236424</v>
      </c>
      <c r="AL28" s="373">
        <f t="shared" si="8"/>
        <v>18292.988799999999</v>
      </c>
      <c r="AM28" s="374">
        <f>H28*0.2</f>
        <v>457.32472000000001</v>
      </c>
      <c r="AN28" s="373">
        <f t="shared" si="27"/>
        <v>1812.37236424</v>
      </c>
      <c r="AO28" s="373">
        <f t="shared" si="28"/>
        <v>20579.612399999998</v>
      </c>
      <c r="AP28" s="374">
        <f>H28*0.2</f>
        <v>457.32472000000001</v>
      </c>
      <c r="AQ28" s="373">
        <f t="shared" si="29"/>
        <v>1812.37236424</v>
      </c>
      <c r="AR28" s="373">
        <f t="shared" si="30"/>
        <v>22866.235999999997</v>
      </c>
      <c r="AS28" s="374">
        <f>H28*0.2</f>
        <v>457.32472000000001</v>
      </c>
      <c r="AT28" s="373">
        <f t="shared" si="31"/>
        <v>1812.37236424</v>
      </c>
      <c r="AU28" s="373">
        <f t="shared" si="32"/>
        <v>25152.8596</v>
      </c>
      <c r="AV28" s="374">
        <f>H28*0.2</f>
        <v>457.32472000000001</v>
      </c>
      <c r="AW28" s="373">
        <f t="shared" si="11"/>
        <v>1812.37236424</v>
      </c>
      <c r="AX28" s="373">
        <f t="shared" si="12"/>
        <v>27439.483199999999</v>
      </c>
      <c r="AY28" s="376">
        <f>(AX28-25000)*0.27+(25000-AU28)*0.2</f>
        <v>628.08854399999973</v>
      </c>
      <c r="AZ28" s="373">
        <f t="shared" si="33"/>
        <v>1641.6085402400004</v>
      </c>
      <c r="BA28" s="371"/>
      <c r="BC28" s="358"/>
    </row>
    <row r="29" spans="1:55" s="345" customFormat="1" ht="28.5" x14ac:dyDescent="0.45">
      <c r="A29" s="343"/>
      <c r="B29" s="349"/>
      <c r="C29" s="344"/>
      <c r="D29" s="344"/>
      <c r="E29" s="344"/>
      <c r="F29" s="344"/>
      <c r="G29" s="233"/>
      <c r="H29" s="357">
        <v>0.86</v>
      </c>
      <c r="I29" s="363"/>
      <c r="J29" s="233"/>
      <c r="K29" s="361"/>
      <c r="L29" s="390"/>
      <c r="M29" s="390"/>
      <c r="N29" s="390"/>
      <c r="O29" s="390"/>
      <c r="P29" s="372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5"/>
      <c r="BC29" s="358"/>
    </row>
    <row r="30" spans="1:55" ht="28.5" x14ac:dyDescent="0.45">
      <c r="A30" s="716" t="s">
        <v>28</v>
      </c>
      <c r="B30" s="347" t="s">
        <v>215</v>
      </c>
      <c r="C30" s="283">
        <v>600</v>
      </c>
      <c r="D30" s="238">
        <v>4996.0199999999995</v>
      </c>
      <c r="E30" s="238">
        <v>19984.079999999998</v>
      </c>
      <c r="F30" s="238">
        <f t="shared" ref="F30:F54" si="47">D30+E30</f>
        <v>24980.1</v>
      </c>
      <c r="G30" s="233">
        <v>359</v>
      </c>
      <c r="H30" s="353">
        <f>D30+E30*$H$29*$I30-G30</f>
        <v>15979.983808000001</v>
      </c>
      <c r="I30" s="363">
        <v>0.66</v>
      </c>
      <c r="J30" s="362">
        <v>11900</v>
      </c>
      <c r="K30" s="361">
        <f t="shared" si="14"/>
        <v>11113.31884873387</v>
      </c>
      <c r="L30" s="390">
        <v>11550.482589181869</v>
      </c>
      <c r="M30" s="390">
        <f t="shared" ref="M30:M54" si="48">L30-K30</f>
        <v>437.16374044799886</v>
      </c>
      <c r="N30" s="390"/>
      <c r="O30" s="390">
        <f>K30/0.94</f>
        <v>11822.679626312629</v>
      </c>
      <c r="P30" s="372">
        <f t="shared" ref="P30:P54" si="49">(H30+G30)*0.0066</f>
        <v>107.8372931328</v>
      </c>
      <c r="Q30" s="373">
        <f>H30*1</f>
        <v>15979.983808000001</v>
      </c>
      <c r="R30" s="374">
        <f t="shared" ref="R30:R42" si="50">(Q30-10000)*0.2+10000*0.15</f>
        <v>2695.9967616000004</v>
      </c>
      <c r="S30" s="373">
        <f>H30-P30-R30</f>
        <v>13176.1497532672</v>
      </c>
      <c r="T30" s="373">
        <f>H30*2</f>
        <v>31959.967616000002</v>
      </c>
      <c r="U30" s="376">
        <f>(T30-25000)*0.27+(25000-Q30)*0.2</f>
        <v>3683.1944947200004</v>
      </c>
      <c r="V30" s="373">
        <f>H30-P30-U30</f>
        <v>12188.952020147201</v>
      </c>
      <c r="W30" s="373">
        <f>H30*3</f>
        <v>47939.951423999999</v>
      </c>
      <c r="X30" s="376">
        <f t="shared" ref="X30:X33" si="51">Q30*0.27</f>
        <v>4314.5956281600002</v>
      </c>
      <c r="Y30" s="373">
        <f>H30-P30-X30</f>
        <v>11557.550886707202</v>
      </c>
      <c r="Z30" s="373">
        <f>H30*4</f>
        <v>63919.935232000003</v>
      </c>
      <c r="AA30" s="376">
        <f t="shared" ref="AA30:AA37" si="52">H30*0.27</f>
        <v>4314.5956281600002</v>
      </c>
      <c r="AB30" s="373">
        <f>H30-P30-AA30</f>
        <v>11557.550886707202</v>
      </c>
      <c r="AC30" s="373">
        <f>H30*5</f>
        <v>79899.919040000008</v>
      </c>
      <c r="AD30" s="376">
        <f t="shared" ref="AD30:AD50" si="53">H30*0.27</f>
        <v>4314.5956281600002</v>
      </c>
      <c r="AE30" s="373">
        <f>H30-P30-AD30</f>
        <v>11557.550886707202</v>
      </c>
      <c r="AF30" s="373">
        <f>H30*6</f>
        <v>95879.902847999998</v>
      </c>
      <c r="AG30" s="377">
        <f>(AF30-88000)*0.35+(88000-AC30)*0.27</f>
        <v>4944.987855999997</v>
      </c>
      <c r="AH30" s="373">
        <f>H30-P30-AG30</f>
        <v>10927.158658867203</v>
      </c>
      <c r="AI30" s="373">
        <f>H30*7</f>
        <v>111859.886656</v>
      </c>
      <c r="AJ30" s="377">
        <f>H30*0.35</f>
        <v>5592.9943327999999</v>
      </c>
      <c r="AK30" s="373">
        <f>H30-P30-AJ30</f>
        <v>10279.152182067202</v>
      </c>
      <c r="AL30" s="373">
        <f>H30*8</f>
        <v>127839.87046400001</v>
      </c>
      <c r="AM30" s="377">
        <f>H30*0.35</f>
        <v>5592.9943327999999</v>
      </c>
      <c r="AN30" s="373">
        <f>H30-P30-AM30</f>
        <v>10279.152182067202</v>
      </c>
      <c r="AO30" s="373">
        <f>H30*9</f>
        <v>143819.854272</v>
      </c>
      <c r="AP30" s="377">
        <f>H30*0.35</f>
        <v>5592.9943327999999</v>
      </c>
      <c r="AQ30" s="373">
        <f>H30-P30-AP30</f>
        <v>10279.152182067202</v>
      </c>
      <c r="AR30" s="373">
        <f>H30*10</f>
        <v>159799.83808000002</v>
      </c>
      <c r="AS30" s="377">
        <f>H30*0.35</f>
        <v>5592.9943327999999</v>
      </c>
      <c r="AT30" s="373">
        <f>H30-P30-AS30</f>
        <v>10279.152182067202</v>
      </c>
      <c r="AU30" s="373">
        <f>H30*11</f>
        <v>175779.82188800001</v>
      </c>
      <c r="AV30" s="377">
        <f t="shared" ref="AV30:AV37" si="54">H30*0.35</f>
        <v>5592.9943327999999</v>
      </c>
      <c r="AW30" s="373">
        <f>H30-P30-AV30</f>
        <v>10279.152182067202</v>
      </c>
      <c r="AX30" s="373">
        <f>H30*12</f>
        <v>191759.805696</v>
      </c>
      <c r="AY30" s="377">
        <f t="shared" ref="AY30:AY37" si="55">H30*0.35</f>
        <v>5592.9943327999999</v>
      </c>
      <c r="AZ30" s="373">
        <f t="shared" ref="AZ30:AZ54" si="56">H30-P30-AY30</f>
        <v>10279.152182067202</v>
      </c>
      <c r="BA30" s="292"/>
      <c r="BC30" s="358"/>
    </row>
    <row r="31" spans="1:55" ht="28.5" x14ac:dyDescent="0.45">
      <c r="A31" s="716"/>
      <c r="B31" s="347" t="s">
        <v>214</v>
      </c>
      <c r="C31" s="283">
        <v>600</v>
      </c>
      <c r="D31" s="238">
        <v>4996.0199999999995</v>
      </c>
      <c r="E31" s="238">
        <v>19984.079999999998</v>
      </c>
      <c r="F31" s="238">
        <f t="shared" si="47"/>
        <v>24980.1</v>
      </c>
      <c r="G31" s="233">
        <v>359</v>
      </c>
      <c r="H31" s="353">
        <f t="shared" ref="H31:H54" si="57">D31+E31*$H$29*$I31-G31</f>
        <v>10480.364991999999</v>
      </c>
      <c r="I31" s="363">
        <v>0.34</v>
      </c>
      <c r="J31" s="362">
        <v>8000</v>
      </c>
      <c r="K31" s="361">
        <f t="shared" si="14"/>
        <v>7574.8641025194656</v>
      </c>
      <c r="L31" s="390">
        <v>7803.7321784010674</v>
      </c>
      <c r="M31" s="390">
        <f t="shared" si="48"/>
        <v>228.86807588160173</v>
      </c>
      <c r="N31" s="390"/>
      <c r="O31" s="390">
        <f t="shared" ref="O31:O54" si="58">K31/0.94</f>
        <v>8058.3660665100706</v>
      </c>
      <c r="P31" s="372">
        <f t="shared" si="49"/>
        <v>71.539808947199987</v>
      </c>
      <c r="Q31" s="373">
        <f t="shared" ref="Q31:Q54" si="59">H31*1</f>
        <v>10480.364991999999</v>
      </c>
      <c r="R31" s="374">
        <f t="shared" si="50"/>
        <v>1596.0729983999997</v>
      </c>
      <c r="S31" s="373">
        <f t="shared" ref="S31:S54" si="60">H31-P31-R31</f>
        <v>8812.7521846527998</v>
      </c>
      <c r="T31" s="373">
        <f t="shared" ref="T31:T54" si="61">H31*2</f>
        <v>20960.729983999998</v>
      </c>
      <c r="U31" s="374">
        <f>H31*0.2</f>
        <v>2096.0729984</v>
      </c>
      <c r="V31" s="373">
        <f t="shared" ref="V31:V54" si="62">H31-P31-U31</f>
        <v>8312.7521846527998</v>
      </c>
      <c r="W31" s="373">
        <f t="shared" ref="W31:W54" si="63">H31*3</f>
        <v>31441.094975999997</v>
      </c>
      <c r="X31" s="376">
        <f>(W31-25000)*0.27+(25000-T31)*0.2</f>
        <v>2546.9496467199997</v>
      </c>
      <c r="Y31" s="373">
        <f t="shared" ref="Y31:Y54" si="64">H31-P31-X31</f>
        <v>7861.8755363327991</v>
      </c>
      <c r="Z31" s="373">
        <f t="shared" ref="Z31:Z54" si="65">H31*4</f>
        <v>41921.459967999996</v>
      </c>
      <c r="AA31" s="376">
        <f t="shared" si="52"/>
        <v>2829.6985478399997</v>
      </c>
      <c r="AB31" s="373">
        <f t="shared" ref="AB31:AB54" si="66">H31-P31-AA31</f>
        <v>7579.1266352127986</v>
      </c>
      <c r="AC31" s="373">
        <f t="shared" ref="AC31:AC54" si="67">H31*5</f>
        <v>52401.824959999998</v>
      </c>
      <c r="AD31" s="376">
        <f t="shared" si="53"/>
        <v>2829.6985478399997</v>
      </c>
      <c r="AE31" s="373">
        <f t="shared" ref="AE31:AE54" si="68">H31-P31-AD31</f>
        <v>7579.1266352127986</v>
      </c>
      <c r="AF31" s="373">
        <f t="shared" ref="AF31:AF54" si="69">H31*6</f>
        <v>62882.189951999993</v>
      </c>
      <c r="AG31" s="376">
        <f t="shared" ref="AG31:AG38" si="70">H31*0.27</f>
        <v>2829.6985478399997</v>
      </c>
      <c r="AH31" s="373">
        <f t="shared" ref="AH31:AH54" si="71">H31-P31-AG31</f>
        <v>7579.1266352127986</v>
      </c>
      <c r="AI31" s="373">
        <f t="shared" ref="AI31:AI54" si="72">H31*7</f>
        <v>73362.554943999989</v>
      </c>
      <c r="AJ31" s="376">
        <f>H31*0.27</f>
        <v>2829.6985478399997</v>
      </c>
      <c r="AK31" s="373">
        <f t="shared" ref="AK31:AK54" si="73">H31-P31-AJ31</f>
        <v>7579.1266352127986</v>
      </c>
      <c r="AL31" s="373">
        <f t="shared" ref="AL31:AL54" si="74">H31*8</f>
        <v>83842.919935999991</v>
      </c>
      <c r="AM31" s="376">
        <f>H31*0.27</f>
        <v>2829.6985478399997</v>
      </c>
      <c r="AN31" s="373">
        <f t="shared" ref="AN31:AN54" si="75">H31-P31-AM31</f>
        <v>7579.1266352127986</v>
      </c>
      <c r="AO31" s="373">
        <f t="shared" ref="AO31:AO54" si="76">H31*9</f>
        <v>94323.284927999994</v>
      </c>
      <c r="AP31" s="377">
        <f>(AO31-88000)*0.35+(88000-AL31)*0.27</f>
        <v>3335.56134208</v>
      </c>
      <c r="AQ31" s="373">
        <f t="shared" ref="AQ31:AQ54" si="77">H31-P31-AP31</f>
        <v>7073.2638409727988</v>
      </c>
      <c r="AR31" s="373">
        <f t="shared" ref="AR31:AR54" si="78">H31*10</f>
        <v>104803.64992</v>
      </c>
      <c r="AS31" s="377">
        <f>H31*0.35</f>
        <v>3668.1277471999992</v>
      </c>
      <c r="AT31" s="373">
        <f t="shared" ref="AT31:AT54" si="79">H31-P31-AS31</f>
        <v>6740.6974358527996</v>
      </c>
      <c r="AU31" s="373">
        <f t="shared" ref="AU31:AU54" si="80">H31*11</f>
        <v>115284.01491199998</v>
      </c>
      <c r="AV31" s="377">
        <f t="shared" si="54"/>
        <v>3668.1277471999992</v>
      </c>
      <c r="AW31" s="373">
        <f t="shared" ref="AW31:AW54" si="81">H31-P31-AV31</f>
        <v>6740.6974358527996</v>
      </c>
      <c r="AX31" s="373">
        <f t="shared" ref="AX31:AX54" si="82">H31*12</f>
        <v>125764.37990399999</v>
      </c>
      <c r="AY31" s="377">
        <f t="shared" si="55"/>
        <v>3668.1277471999992</v>
      </c>
      <c r="AZ31" s="373">
        <f t="shared" si="56"/>
        <v>6740.6974358527996</v>
      </c>
      <c r="BA31" s="292"/>
      <c r="BC31" s="358"/>
    </row>
    <row r="32" spans="1:55" ht="28.5" x14ac:dyDescent="0.45">
      <c r="A32" s="716"/>
      <c r="B32" s="574" t="s">
        <v>220</v>
      </c>
      <c r="C32" s="231">
        <v>600</v>
      </c>
      <c r="D32" s="234">
        <v>4996.0199999999995</v>
      </c>
      <c r="E32" s="234">
        <v>19984.079999999998</v>
      </c>
      <c r="F32" s="234">
        <v>16231.55401011872</v>
      </c>
      <c r="G32" s="233">
        <v>359</v>
      </c>
      <c r="H32" s="353">
        <f t="shared" si="57"/>
        <v>8933.5972000000002</v>
      </c>
      <c r="I32" s="363">
        <v>0.25</v>
      </c>
      <c r="J32" s="362">
        <v>6844</v>
      </c>
      <c r="K32" s="361">
        <f t="shared" si="14"/>
        <v>6579.6737051466662</v>
      </c>
      <c r="L32" s="390">
        <v>6836.8288465866681</v>
      </c>
      <c r="M32" s="390">
        <f t="shared" si="48"/>
        <v>257.1551414400019</v>
      </c>
      <c r="N32" s="390"/>
      <c r="O32" s="390">
        <f t="shared" si="58"/>
        <v>6999.6528778156026</v>
      </c>
      <c r="P32" s="372">
        <f t="shared" si="49"/>
        <v>61.331141520000003</v>
      </c>
      <c r="Q32" s="373">
        <f t="shared" si="59"/>
        <v>8933.5972000000002</v>
      </c>
      <c r="R32" s="378">
        <f t="shared" ref="R32" si="83">Q32*0.15</f>
        <v>1340.0395799999999</v>
      </c>
      <c r="S32" s="373">
        <f t="shared" si="60"/>
        <v>7532.22647848</v>
      </c>
      <c r="T32" s="373">
        <f t="shared" si="61"/>
        <v>17867.1944</v>
      </c>
      <c r="U32" s="374">
        <f t="shared" ref="U32" si="84">(T32-10000)*0.2+(10000-Q32)*0.15</f>
        <v>1733.3993</v>
      </c>
      <c r="V32" s="373">
        <f t="shared" si="62"/>
        <v>7138.8667584799996</v>
      </c>
      <c r="W32" s="373">
        <f t="shared" si="63"/>
        <v>26800.7916</v>
      </c>
      <c r="X32" s="376">
        <f>(W32-25000)*0.27+(25000-T32)*0.2</f>
        <v>1912.7748520000002</v>
      </c>
      <c r="Y32" s="373">
        <f t="shared" si="64"/>
        <v>6959.4912064799992</v>
      </c>
      <c r="Z32" s="373">
        <f t="shared" si="65"/>
        <v>35734.388800000001</v>
      </c>
      <c r="AA32" s="376">
        <f t="shared" si="52"/>
        <v>2412.0712440000002</v>
      </c>
      <c r="AB32" s="373">
        <f t="shared" si="66"/>
        <v>6460.194814479999</v>
      </c>
      <c r="AC32" s="373">
        <f t="shared" si="67"/>
        <v>44667.986000000004</v>
      </c>
      <c r="AD32" s="376">
        <f t="shared" si="53"/>
        <v>2412.0712440000002</v>
      </c>
      <c r="AE32" s="373">
        <f t="shared" si="68"/>
        <v>6460.194814479999</v>
      </c>
      <c r="AF32" s="373">
        <f t="shared" si="69"/>
        <v>53601.583200000001</v>
      </c>
      <c r="AG32" s="376">
        <f t="shared" si="70"/>
        <v>2412.0712440000002</v>
      </c>
      <c r="AH32" s="373">
        <f t="shared" si="71"/>
        <v>6460.194814479999</v>
      </c>
      <c r="AI32" s="373">
        <f t="shared" si="72"/>
        <v>62535.180399999997</v>
      </c>
      <c r="AJ32" s="376">
        <f>H32*0.27</f>
        <v>2412.0712440000002</v>
      </c>
      <c r="AK32" s="373">
        <f t="shared" si="73"/>
        <v>6460.194814479999</v>
      </c>
      <c r="AL32" s="373">
        <f t="shared" si="74"/>
        <v>71468.777600000001</v>
      </c>
      <c r="AM32" s="376">
        <f>H32*0.27</f>
        <v>2412.0712440000002</v>
      </c>
      <c r="AN32" s="373">
        <f t="shared" si="75"/>
        <v>6460.194814479999</v>
      </c>
      <c r="AO32" s="373">
        <f t="shared" si="76"/>
        <v>80402.374800000005</v>
      </c>
      <c r="AP32" s="376">
        <f>H32*0.27</f>
        <v>2412.0712440000002</v>
      </c>
      <c r="AQ32" s="373">
        <f t="shared" si="77"/>
        <v>6460.194814479999</v>
      </c>
      <c r="AR32" s="373">
        <f t="shared" si="78"/>
        <v>89335.972000000009</v>
      </c>
      <c r="AS32" s="377">
        <f>(AR32-88000)*0.35+(88000-AO32)*0.27</f>
        <v>2518.9490040000019</v>
      </c>
      <c r="AT32" s="373">
        <f t="shared" si="79"/>
        <v>6353.3170544799978</v>
      </c>
      <c r="AU32" s="373">
        <f t="shared" si="80"/>
        <v>98269.569199999998</v>
      </c>
      <c r="AV32" s="377">
        <f t="shared" si="54"/>
        <v>3126.75902</v>
      </c>
      <c r="AW32" s="373">
        <f t="shared" si="81"/>
        <v>5745.5070384800001</v>
      </c>
      <c r="AX32" s="373">
        <f t="shared" si="82"/>
        <v>107203.1664</v>
      </c>
      <c r="AY32" s="377">
        <f t="shared" si="55"/>
        <v>3126.75902</v>
      </c>
      <c r="AZ32" s="373">
        <f t="shared" si="56"/>
        <v>5745.5070384800001</v>
      </c>
      <c r="BA32" s="292"/>
      <c r="BC32" s="358"/>
    </row>
    <row r="33" spans="1:55" ht="28.5" x14ac:dyDescent="0.45">
      <c r="A33" s="716"/>
      <c r="B33" s="347" t="s">
        <v>32</v>
      </c>
      <c r="C33" s="283">
        <v>450</v>
      </c>
      <c r="D33" s="238">
        <v>4996.0199999999995</v>
      </c>
      <c r="E33" s="238">
        <v>14988.06</v>
      </c>
      <c r="F33" s="238">
        <f t="shared" si="47"/>
        <v>19984.079999999998</v>
      </c>
      <c r="G33" s="233">
        <v>359</v>
      </c>
      <c r="H33" s="353">
        <f t="shared" si="57"/>
        <v>12757.550907999999</v>
      </c>
      <c r="I33" s="363">
        <v>0.63</v>
      </c>
      <c r="J33" s="362">
        <v>9500</v>
      </c>
      <c r="K33" s="361">
        <f t="shared" si="14"/>
        <v>9040.0055208738631</v>
      </c>
      <c r="L33" s="390">
        <v>9254.0871761226681</v>
      </c>
      <c r="M33" s="390">
        <f t="shared" si="48"/>
        <v>214.08165524880496</v>
      </c>
      <c r="N33" s="390"/>
      <c r="O33" s="390">
        <f t="shared" si="58"/>
        <v>9617.027149865813</v>
      </c>
      <c r="P33" s="372">
        <f t="shared" si="49"/>
        <v>86.569235992799989</v>
      </c>
      <c r="Q33" s="373">
        <f t="shared" si="59"/>
        <v>12757.550907999999</v>
      </c>
      <c r="R33" s="374">
        <f t="shared" si="50"/>
        <v>2051.5101815999997</v>
      </c>
      <c r="S33" s="373">
        <f t="shared" si="60"/>
        <v>10619.471490407199</v>
      </c>
      <c r="T33" s="373">
        <f t="shared" si="61"/>
        <v>25515.101815999999</v>
      </c>
      <c r="U33" s="376">
        <f>(T33-25000)*0.27+(25000-Q33)*0.2</f>
        <v>2587.5673087199998</v>
      </c>
      <c r="V33" s="373">
        <f t="shared" si="62"/>
        <v>10083.4143632872</v>
      </c>
      <c r="W33" s="373">
        <f t="shared" si="63"/>
        <v>38272.652724</v>
      </c>
      <c r="X33" s="376">
        <f t="shared" si="51"/>
        <v>3444.53874516</v>
      </c>
      <c r="Y33" s="373">
        <f t="shared" si="64"/>
        <v>9226.4429268471995</v>
      </c>
      <c r="Z33" s="373">
        <f t="shared" si="65"/>
        <v>51030.203631999997</v>
      </c>
      <c r="AA33" s="376">
        <f t="shared" si="52"/>
        <v>3444.53874516</v>
      </c>
      <c r="AB33" s="373">
        <f t="shared" si="66"/>
        <v>9226.4429268471995</v>
      </c>
      <c r="AC33" s="373">
        <f t="shared" si="67"/>
        <v>63787.754539999994</v>
      </c>
      <c r="AD33" s="376">
        <f t="shared" si="53"/>
        <v>3444.53874516</v>
      </c>
      <c r="AE33" s="373">
        <f t="shared" si="68"/>
        <v>9226.4429268471995</v>
      </c>
      <c r="AF33" s="373">
        <f t="shared" si="69"/>
        <v>76545.305447999999</v>
      </c>
      <c r="AG33" s="376">
        <f t="shared" si="70"/>
        <v>3444.53874516</v>
      </c>
      <c r="AH33" s="373">
        <f t="shared" si="71"/>
        <v>9226.4429268471995</v>
      </c>
      <c r="AI33" s="373">
        <f t="shared" si="72"/>
        <v>89302.856355999989</v>
      </c>
      <c r="AJ33" s="377">
        <f>(AI33-88000)*0.35+(88000-AF33)*0.27</f>
        <v>3548.7672536399964</v>
      </c>
      <c r="AK33" s="373">
        <f t="shared" si="73"/>
        <v>9122.2144183672026</v>
      </c>
      <c r="AL33" s="373">
        <f t="shared" si="74"/>
        <v>102060.40726399999</v>
      </c>
      <c r="AM33" s="377">
        <f>H33*0.35</f>
        <v>4465.1428177999996</v>
      </c>
      <c r="AN33" s="373">
        <f t="shared" si="75"/>
        <v>8205.8388542071989</v>
      </c>
      <c r="AO33" s="373">
        <f t="shared" si="76"/>
        <v>114817.958172</v>
      </c>
      <c r="AP33" s="377">
        <f>H33*0.35</f>
        <v>4465.1428177999996</v>
      </c>
      <c r="AQ33" s="373">
        <f t="shared" si="77"/>
        <v>8205.8388542071989</v>
      </c>
      <c r="AR33" s="373">
        <f t="shared" si="78"/>
        <v>127575.50907999999</v>
      </c>
      <c r="AS33" s="377">
        <f>H33*0.35</f>
        <v>4465.1428177999996</v>
      </c>
      <c r="AT33" s="373">
        <f t="shared" si="79"/>
        <v>8205.8388542071989</v>
      </c>
      <c r="AU33" s="373">
        <f t="shared" si="80"/>
        <v>140333.05998799999</v>
      </c>
      <c r="AV33" s="377">
        <f t="shared" si="54"/>
        <v>4465.1428177999996</v>
      </c>
      <c r="AW33" s="373">
        <f t="shared" si="81"/>
        <v>8205.8388542071989</v>
      </c>
      <c r="AX33" s="373">
        <f t="shared" si="82"/>
        <v>153090.610896</v>
      </c>
      <c r="AY33" s="377">
        <f t="shared" si="55"/>
        <v>4465.1428177999996</v>
      </c>
      <c r="AZ33" s="373">
        <f t="shared" si="56"/>
        <v>8205.8388542071989</v>
      </c>
      <c r="BA33" s="292"/>
      <c r="BC33" s="358"/>
    </row>
    <row r="34" spans="1:55" ht="28.5" x14ac:dyDescent="0.45">
      <c r="A34" s="716"/>
      <c r="B34" s="347" t="s">
        <v>237</v>
      </c>
      <c r="C34" s="283">
        <v>450</v>
      </c>
      <c r="D34" s="238">
        <v>4996.0199999999995</v>
      </c>
      <c r="E34" s="238">
        <v>14988.06</v>
      </c>
      <c r="F34" s="238">
        <f t="shared" si="47"/>
        <v>19984.079999999998</v>
      </c>
      <c r="G34" s="233">
        <v>359</v>
      </c>
      <c r="H34" s="353">
        <f t="shared" si="57"/>
        <v>10952.988483999998</v>
      </c>
      <c r="I34" s="464">
        <v>0.49</v>
      </c>
      <c r="J34" s="362">
        <v>8300</v>
      </c>
      <c r="K34" s="361">
        <f t="shared" si="14"/>
        <v>7876.442776418935</v>
      </c>
      <c r="L34" s="390">
        <v>8166.3209278314671</v>
      </c>
      <c r="M34" s="390">
        <f t="shared" si="48"/>
        <v>289.87815141253213</v>
      </c>
      <c r="N34" s="390"/>
      <c r="O34" s="390">
        <f t="shared" si="58"/>
        <v>8379.1944429988671</v>
      </c>
      <c r="P34" s="372">
        <f t="shared" si="49"/>
        <v>74.659123994399991</v>
      </c>
      <c r="Q34" s="373">
        <f t="shared" si="59"/>
        <v>10952.988483999998</v>
      </c>
      <c r="R34" s="374">
        <f t="shared" si="50"/>
        <v>1690.5976967999995</v>
      </c>
      <c r="S34" s="373">
        <f t="shared" si="60"/>
        <v>9187.731663205599</v>
      </c>
      <c r="T34" s="373">
        <f t="shared" si="61"/>
        <v>21905.976967999995</v>
      </c>
      <c r="U34" s="376">
        <f>Q34*0.2</f>
        <v>2190.5976967999995</v>
      </c>
      <c r="V34" s="373">
        <f t="shared" si="62"/>
        <v>8687.731663205599</v>
      </c>
      <c r="W34" s="373">
        <f t="shared" si="63"/>
        <v>32858.965451999989</v>
      </c>
      <c r="X34" s="376">
        <f>(W34-25000)*0.27+(25000-T34)*0.2</f>
        <v>2740.7252784399984</v>
      </c>
      <c r="Y34" s="373">
        <f t="shared" si="64"/>
        <v>8137.6040815655997</v>
      </c>
      <c r="Z34" s="373">
        <f t="shared" si="65"/>
        <v>43811.953935999991</v>
      </c>
      <c r="AA34" s="376">
        <f t="shared" si="52"/>
        <v>2957.3068906799995</v>
      </c>
      <c r="AB34" s="373">
        <f t="shared" si="66"/>
        <v>7921.0224693255986</v>
      </c>
      <c r="AC34" s="373">
        <f t="shared" si="67"/>
        <v>54764.942419999992</v>
      </c>
      <c r="AD34" s="376">
        <f t="shared" si="53"/>
        <v>2957.3068906799995</v>
      </c>
      <c r="AE34" s="373">
        <f t="shared" si="68"/>
        <v>7921.0224693255986</v>
      </c>
      <c r="AF34" s="373">
        <f t="shared" si="69"/>
        <v>65717.930903999979</v>
      </c>
      <c r="AG34" s="376">
        <f t="shared" si="70"/>
        <v>2957.3068906799995</v>
      </c>
      <c r="AH34" s="373">
        <f t="shared" si="71"/>
        <v>7921.0224693255986</v>
      </c>
      <c r="AI34" s="373">
        <f t="shared" si="72"/>
        <v>76670.91938799998</v>
      </c>
      <c r="AJ34" s="376">
        <f>H34*0.27</f>
        <v>2957.3068906799995</v>
      </c>
      <c r="AK34" s="373">
        <f t="shared" si="73"/>
        <v>7921.0224693255986</v>
      </c>
      <c r="AL34" s="373">
        <f t="shared" si="74"/>
        <v>87623.907871999982</v>
      </c>
      <c r="AM34" s="376">
        <f>H34*0.27</f>
        <v>2957.3068906799995</v>
      </c>
      <c r="AN34" s="373">
        <f t="shared" si="75"/>
        <v>7921.0224693255986</v>
      </c>
      <c r="AO34" s="373">
        <f t="shared" si="76"/>
        <v>98576.896355999983</v>
      </c>
      <c r="AP34" s="377">
        <f>H34*0.35</f>
        <v>3833.5459693999987</v>
      </c>
      <c r="AQ34" s="373">
        <f t="shared" si="77"/>
        <v>7044.7833906056003</v>
      </c>
      <c r="AR34" s="373">
        <f t="shared" si="78"/>
        <v>109529.88483999998</v>
      </c>
      <c r="AS34" s="377">
        <f>H34*0.35</f>
        <v>3833.5459693999987</v>
      </c>
      <c r="AT34" s="373">
        <f t="shared" si="79"/>
        <v>7044.7833906056003</v>
      </c>
      <c r="AU34" s="373">
        <f t="shared" si="80"/>
        <v>120482.87332399997</v>
      </c>
      <c r="AV34" s="377">
        <f t="shared" si="54"/>
        <v>3833.5459693999987</v>
      </c>
      <c r="AW34" s="373">
        <f t="shared" si="81"/>
        <v>7044.7833906056003</v>
      </c>
      <c r="AX34" s="373">
        <f t="shared" si="82"/>
        <v>131435.86180799996</v>
      </c>
      <c r="AY34" s="377">
        <f t="shared" si="55"/>
        <v>3833.5459693999987</v>
      </c>
      <c r="AZ34" s="373">
        <f t="shared" si="56"/>
        <v>7044.7833906056003</v>
      </c>
      <c r="BA34" s="292"/>
      <c r="BC34" s="358"/>
    </row>
    <row r="35" spans="1:55" ht="28.5" x14ac:dyDescent="0.45">
      <c r="A35" s="716"/>
      <c r="B35" s="574" t="s">
        <v>234</v>
      </c>
      <c r="C35" s="231">
        <v>300</v>
      </c>
      <c r="D35" s="234">
        <v>4996.0199999999995</v>
      </c>
      <c r="E35" s="234">
        <v>9992.0399999999991</v>
      </c>
      <c r="F35" s="234">
        <f t="shared" si="47"/>
        <v>14988.059999999998</v>
      </c>
      <c r="G35" s="233">
        <v>359</v>
      </c>
      <c r="H35" s="353">
        <f t="shared" si="57"/>
        <v>9621.0495519999986</v>
      </c>
      <c r="I35" s="464">
        <v>0.57999999999999996</v>
      </c>
      <c r="J35" s="362">
        <v>7300</v>
      </c>
      <c r="K35" s="361">
        <f t="shared" si="14"/>
        <v>7021.9805484234648</v>
      </c>
      <c r="L35" s="390">
        <v>7138.9861377786683</v>
      </c>
      <c r="M35" s="390">
        <f t="shared" si="48"/>
        <v>117.00558935520348</v>
      </c>
      <c r="N35" s="390"/>
      <c r="O35" s="390">
        <f t="shared" si="58"/>
        <v>7470.1920727909201</v>
      </c>
      <c r="P35" s="372">
        <f t="shared" si="49"/>
        <v>65.868327043199997</v>
      </c>
      <c r="Q35" s="373">
        <f t="shared" si="59"/>
        <v>9621.0495519999986</v>
      </c>
      <c r="R35" s="378">
        <f t="shared" ref="R35:R38" si="85">Q35*0.15</f>
        <v>1443.1574327999997</v>
      </c>
      <c r="S35" s="373">
        <f t="shared" si="60"/>
        <v>8112.0237921567996</v>
      </c>
      <c r="T35" s="373">
        <f t="shared" si="61"/>
        <v>19242.099103999997</v>
      </c>
      <c r="U35" s="374">
        <f t="shared" ref="U35:U38" si="86">(T35-10000)*0.2+(10000-Q35)*0.15</f>
        <v>1905.2623879999999</v>
      </c>
      <c r="V35" s="373">
        <f t="shared" si="62"/>
        <v>7649.9188369567992</v>
      </c>
      <c r="W35" s="373">
        <f t="shared" si="63"/>
        <v>28863.148655999998</v>
      </c>
      <c r="X35" s="376">
        <f>(W35-25000)*0.27+(25000-T35)*0.2</f>
        <v>2194.63031632</v>
      </c>
      <c r="Y35" s="373">
        <f t="shared" si="64"/>
        <v>7360.5509086367992</v>
      </c>
      <c r="Z35" s="373">
        <f t="shared" si="65"/>
        <v>38484.198207999994</v>
      </c>
      <c r="AA35" s="376">
        <f t="shared" si="52"/>
        <v>2597.6833790399996</v>
      </c>
      <c r="AB35" s="373">
        <f t="shared" si="66"/>
        <v>6957.4978459167996</v>
      </c>
      <c r="AC35" s="373">
        <f t="shared" si="67"/>
        <v>48105.247759999991</v>
      </c>
      <c r="AD35" s="376">
        <f t="shared" si="53"/>
        <v>2597.6833790399996</v>
      </c>
      <c r="AE35" s="373">
        <f t="shared" si="68"/>
        <v>6957.4978459167996</v>
      </c>
      <c r="AF35" s="373">
        <f t="shared" si="69"/>
        <v>57726.297311999995</v>
      </c>
      <c r="AG35" s="376">
        <f t="shared" si="70"/>
        <v>2597.6833790399996</v>
      </c>
      <c r="AH35" s="373">
        <f t="shared" si="71"/>
        <v>6957.4978459167996</v>
      </c>
      <c r="AI35" s="373">
        <f t="shared" si="72"/>
        <v>67347.346863999992</v>
      </c>
      <c r="AJ35" s="376">
        <f>H35*0.27</f>
        <v>2597.6833790399996</v>
      </c>
      <c r="AK35" s="373">
        <f t="shared" si="73"/>
        <v>6957.4978459167996</v>
      </c>
      <c r="AL35" s="373">
        <f t="shared" si="74"/>
        <v>76968.396415999989</v>
      </c>
      <c r="AM35" s="376">
        <f>H35*0.27</f>
        <v>2597.6833790399996</v>
      </c>
      <c r="AN35" s="373">
        <f t="shared" si="75"/>
        <v>6957.4978459167996</v>
      </c>
      <c r="AO35" s="373">
        <f t="shared" si="76"/>
        <v>86589.445967999985</v>
      </c>
      <c r="AP35" s="376">
        <f>H35*0.27</f>
        <v>2597.6833790399996</v>
      </c>
      <c r="AQ35" s="373">
        <f t="shared" si="77"/>
        <v>6957.4978459167996</v>
      </c>
      <c r="AR35" s="373">
        <f t="shared" si="78"/>
        <v>96210.495519999982</v>
      </c>
      <c r="AS35" s="377">
        <f>(AR35-88000)*0.35+(88000-AO35)*0.27</f>
        <v>3254.5230206399974</v>
      </c>
      <c r="AT35" s="373">
        <f t="shared" si="79"/>
        <v>6300.6582043168019</v>
      </c>
      <c r="AU35" s="373">
        <f t="shared" si="80"/>
        <v>105831.54507199998</v>
      </c>
      <c r="AV35" s="377">
        <f t="shared" si="54"/>
        <v>3367.3673431999991</v>
      </c>
      <c r="AW35" s="373">
        <f t="shared" si="81"/>
        <v>6187.8138817567997</v>
      </c>
      <c r="AX35" s="373">
        <f t="shared" si="82"/>
        <v>115452.59462399999</v>
      </c>
      <c r="AY35" s="377">
        <f t="shared" si="55"/>
        <v>3367.3673431999991</v>
      </c>
      <c r="AZ35" s="373">
        <f t="shared" si="56"/>
        <v>6187.8138817567997</v>
      </c>
      <c r="BA35" s="292"/>
      <c r="BC35" s="358"/>
    </row>
    <row r="36" spans="1:55" ht="28.5" x14ac:dyDescent="0.45">
      <c r="A36" s="716"/>
      <c r="B36" s="574" t="s">
        <v>242</v>
      </c>
      <c r="C36" s="231">
        <v>300</v>
      </c>
      <c r="D36" s="234">
        <v>4996.0199999999995</v>
      </c>
      <c r="E36" s="234">
        <v>9992.0399999999991</v>
      </c>
      <c r="F36" s="234">
        <f t="shared" si="47"/>
        <v>14988.059999999998</v>
      </c>
      <c r="G36" s="233">
        <v>359</v>
      </c>
      <c r="H36" s="353">
        <f t="shared" si="57"/>
        <v>9363.2549199999994</v>
      </c>
      <c r="I36" s="363">
        <v>0.55000000000000004</v>
      </c>
      <c r="J36" s="362">
        <v>7100</v>
      </c>
      <c r="K36" s="361">
        <f t="shared" si="14"/>
        <v>6831.2441107280001</v>
      </c>
      <c r="L36" s="390">
        <v>7138.9861377786683</v>
      </c>
      <c r="M36" s="390">
        <f t="shared" si="48"/>
        <v>307.74202705066818</v>
      </c>
      <c r="N36" s="390"/>
      <c r="O36" s="390">
        <f t="shared" si="58"/>
        <v>7267.2809688595753</v>
      </c>
      <c r="P36" s="372">
        <f t="shared" si="49"/>
        <v>64.166882471999998</v>
      </c>
      <c r="Q36" s="373">
        <f t="shared" si="59"/>
        <v>9363.2549199999994</v>
      </c>
      <c r="R36" s="378">
        <f t="shared" si="85"/>
        <v>1404.4882379999999</v>
      </c>
      <c r="S36" s="373">
        <f t="shared" si="60"/>
        <v>7894.5997995279995</v>
      </c>
      <c r="T36" s="373">
        <f t="shared" si="61"/>
        <v>18726.509839999999</v>
      </c>
      <c r="U36" s="374">
        <f t="shared" si="86"/>
        <v>1840.8137299999999</v>
      </c>
      <c r="V36" s="373">
        <f t="shared" si="62"/>
        <v>7458.2743075279996</v>
      </c>
      <c r="W36" s="373">
        <f t="shared" si="63"/>
        <v>28089.764759999998</v>
      </c>
      <c r="X36" s="376">
        <f>(W36-25000)*0.27+(25000-T36)*0.2</f>
        <v>2088.9345171999998</v>
      </c>
      <c r="Y36" s="373">
        <f t="shared" si="64"/>
        <v>7210.153520328</v>
      </c>
      <c r="Z36" s="373">
        <f t="shared" si="65"/>
        <v>37453.019679999998</v>
      </c>
      <c r="AA36" s="376">
        <f t="shared" si="52"/>
        <v>2528.0788284</v>
      </c>
      <c r="AB36" s="373">
        <f t="shared" si="66"/>
        <v>6771.0092091279994</v>
      </c>
      <c r="AC36" s="373">
        <f t="shared" si="67"/>
        <v>46816.274599999997</v>
      </c>
      <c r="AD36" s="376">
        <f t="shared" si="53"/>
        <v>2528.0788284</v>
      </c>
      <c r="AE36" s="373">
        <f t="shared" si="68"/>
        <v>6771.0092091279994</v>
      </c>
      <c r="AF36" s="373">
        <f t="shared" si="69"/>
        <v>56179.529519999996</v>
      </c>
      <c r="AG36" s="376">
        <f t="shared" si="70"/>
        <v>2528.0788284</v>
      </c>
      <c r="AH36" s="373">
        <f t="shared" si="71"/>
        <v>6771.0092091279994</v>
      </c>
      <c r="AI36" s="373">
        <f t="shared" si="72"/>
        <v>65542.784439999989</v>
      </c>
      <c r="AJ36" s="376">
        <f>H36*0.27</f>
        <v>2528.0788284</v>
      </c>
      <c r="AK36" s="373">
        <f t="shared" si="73"/>
        <v>6771.0092091279994</v>
      </c>
      <c r="AL36" s="373">
        <f t="shared" si="74"/>
        <v>74906.039359999995</v>
      </c>
      <c r="AM36" s="376">
        <f>H36*0.27</f>
        <v>2528.0788284</v>
      </c>
      <c r="AN36" s="373">
        <f t="shared" si="75"/>
        <v>6771.0092091279994</v>
      </c>
      <c r="AO36" s="373">
        <f t="shared" si="76"/>
        <v>84269.294280000002</v>
      </c>
      <c r="AP36" s="376">
        <f>H36*0.27</f>
        <v>2528.0788284</v>
      </c>
      <c r="AQ36" s="373">
        <f t="shared" si="77"/>
        <v>6771.0092091279994</v>
      </c>
      <c r="AR36" s="373">
        <f t="shared" si="78"/>
        <v>93632.549199999994</v>
      </c>
      <c r="AS36" s="377">
        <f>H36*0.35</f>
        <v>3277.1392219999998</v>
      </c>
      <c r="AT36" s="373">
        <f t="shared" si="79"/>
        <v>6021.9488155279996</v>
      </c>
      <c r="AU36" s="373">
        <f t="shared" si="80"/>
        <v>102995.80411999999</v>
      </c>
      <c r="AV36" s="377">
        <f t="shared" si="54"/>
        <v>3277.1392219999998</v>
      </c>
      <c r="AW36" s="373">
        <f t="shared" si="81"/>
        <v>6021.9488155279996</v>
      </c>
      <c r="AX36" s="373">
        <f t="shared" si="82"/>
        <v>112359.05903999999</v>
      </c>
      <c r="AY36" s="377">
        <f t="shared" si="55"/>
        <v>3277.1392219999998</v>
      </c>
      <c r="AZ36" s="373">
        <f t="shared" si="56"/>
        <v>6021.9488155279996</v>
      </c>
      <c r="BA36" s="292"/>
      <c r="BC36" s="358"/>
    </row>
    <row r="37" spans="1:55" ht="28.5" x14ac:dyDescent="0.45">
      <c r="A37" s="716"/>
      <c r="B37" s="574" t="s">
        <v>235</v>
      </c>
      <c r="C37" s="231">
        <v>300</v>
      </c>
      <c r="D37" s="234">
        <v>4996.0199999999995</v>
      </c>
      <c r="E37" s="234">
        <v>9992.0399999999991</v>
      </c>
      <c r="F37" s="234">
        <f t="shared" si="47"/>
        <v>14988.059999999998</v>
      </c>
      <c r="G37" s="233">
        <v>359</v>
      </c>
      <c r="H37" s="353">
        <f t="shared" si="57"/>
        <v>8933.5972000000002</v>
      </c>
      <c r="I37" s="363">
        <v>0.5</v>
      </c>
      <c r="J37" s="362">
        <v>6900</v>
      </c>
      <c r="K37" s="361">
        <f t="shared" si="14"/>
        <v>6579.6737051466662</v>
      </c>
      <c r="L37" s="390">
        <v>6836.8288465866681</v>
      </c>
      <c r="M37" s="390">
        <f t="shared" si="48"/>
        <v>257.1551414400019</v>
      </c>
      <c r="N37" s="390"/>
      <c r="O37" s="390">
        <f t="shared" si="58"/>
        <v>6999.6528778156026</v>
      </c>
      <c r="P37" s="372">
        <f t="shared" si="49"/>
        <v>61.331141520000003</v>
      </c>
      <c r="Q37" s="373">
        <f t="shared" si="59"/>
        <v>8933.5972000000002</v>
      </c>
      <c r="R37" s="378">
        <f t="shared" si="85"/>
        <v>1340.0395799999999</v>
      </c>
      <c r="S37" s="373">
        <f t="shared" si="60"/>
        <v>7532.22647848</v>
      </c>
      <c r="T37" s="373">
        <f t="shared" si="61"/>
        <v>17867.1944</v>
      </c>
      <c r="U37" s="374">
        <f t="shared" si="86"/>
        <v>1733.3993</v>
      </c>
      <c r="V37" s="373">
        <f t="shared" si="62"/>
        <v>7138.8667584799996</v>
      </c>
      <c r="W37" s="373">
        <f t="shared" si="63"/>
        <v>26800.7916</v>
      </c>
      <c r="X37" s="376">
        <f>(W37-25000)*0.27+(25000-T37)*0.2</f>
        <v>1912.7748520000002</v>
      </c>
      <c r="Y37" s="373">
        <f t="shared" si="64"/>
        <v>6959.4912064799992</v>
      </c>
      <c r="Z37" s="373">
        <f t="shared" si="65"/>
        <v>35734.388800000001</v>
      </c>
      <c r="AA37" s="376">
        <f t="shared" si="52"/>
        <v>2412.0712440000002</v>
      </c>
      <c r="AB37" s="373">
        <f t="shared" si="66"/>
        <v>6460.194814479999</v>
      </c>
      <c r="AC37" s="373">
        <f t="shared" si="67"/>
        <v>44667.986000000004</v>
      </c>
      <c r="AD37" s="376">
        <f t="shared" si="53"/>
        <v>2412.0712440000002</v>
      </c>
      <c r="AE37" s="373">
        <f t="shared" si="68"/>
        <v>6460.194814479999</v>
      </c>
      <c r="AF37" s="373">
        <f t="shared" si="69"/>
        <v>53601.583200000001</v>
      </c>
      <c r="AG37" s="376">
        <f t="shared" si="70"/>
        <v>2412.0712440000002</v>
      </c>
      <c r="AH37" s="373">
        <f t="shared" si="71"/>
        <v>6460.194814479999</v>
      </c>
      <c r="AI37" s="373">
        <f t="shared" si="72"/>
        <v>62535.180399999997</v>
      </c>
      <c r="AJ37" s="376">
        <f>H37*0.27</f>
        <v>2412.0712440000002</v>
      </c>
      <c r="AK37" s="373">
        <f t="shared" si="73"/>
        <v>6460.194814479999</v>
      </c>
      <c r="AL37" s="373">
        <f t="shared" si="74"/>
        <v>71468.777600000001</v>
      </c>
      <c r="AM37" s="376">
        <f>H37*0.27</f>
        <v>2412.0712440000002</v>
      </c>
      <c r="AN37" s="373">
        <f t="shared" si="75"/>
        <v>6460.194814479999</v>
      </c>
      <c r="AO37" s="373">
        <f t="shared" si="76"/>
        <v>80402.374800000005</v>
      </c>
      <c r="AP37" s="376">
        <f>H37*0.27</f>
        <v>2412.0712440000002</v>
      </c>
      <c r="AQ37" s="373">
        <f t="shared" si="77"/>
        <v>6460.194814479999</v>
      </c>
      <c r="AR37" s="373">
        <f t="shared" si="78"/>
        <v>89335.972000000009</v>
      </c>
      <c r="AS37" s="377">
        <f>(AR37-88000)*0.35+(88000-AO37)*0.27</f>
        <v>2518.9490040000019</v>
      </c>
      <c r="AT37" s="373">
        <f t="shared" si="79"/>
        <v>6353.3170544799978</v>
      </c>
      <c r="AU37" s="373">
        <f t="shared" si="80"/>
        <v>98269.569199999998</v>
      </c>
      <c r="AV37" s="377">
        <f t="shared" si="54"/>
        <v>3126.75902</v>
      </c>
      <c r="AW37" s="373">
        <f t="shared" si="81"/>
        <v>5745.5070384800001</v>
      </c>
      <c r="AX37" s="373">
        <f t="shared" si="82"/>
        <v>107203.1664</v>
      </c>
      <c r="AY37" s="377">
        <f t="shared" si="55"/>
        <v>3126.75902</v>
      </c>
      <c r="AZ37" s="373">
        <f t="shared" si="56"/>
        <v>5745.5070384800001</v>
      </c>
      <c r="BA37" s="292"/>
      <c r="BC37" s="358"/>
    </row>
    <row r="38" spans="1:55" ht="28.5" x14ac:dyDescent="0.45">
      <c r="A38" s="716"/>
      <c r="B38" s="392" t="s">
        <v>224</v>
      </c>
      <c r="C38" s="283">
        <v>300</v>
      </c>
      <c r="D38" s="238">
        <v>4996.0199999999995</v>
      </c>
      <c r="E38" s="238">
        <v>9992.0399999999991</v>
      </c>
      <c r="F38" s="238">
        <f t="shared" si="47"/>
        <v>14988.059999999998</v>
      </c>
      <c r="G38" s="233">
        <v>359</v>
      </c>
      <c r="H38" s="353">
        <f t="shared" si="57"/>
        <v>6269.7193359999992</v>
      </c>
      <c r="I38" s="391">
        <v>0.19</v>
      </c>
      <c r="J38" s="362">
        <v>4900</v>
      </c>
      <c r="K38" s="361">
        <f t="shared" si="14"/>
        <v>4780.6455676624</v>
      </c>
      <c r="L38" s="390">
        <v>4890.514842049598</v>
      </c>
      <c r="M38" s="390">
        <f t="shared" si="48"/>
        <v>109.86927438719795</v>
      </c>
      <c r="N38" s="390"/>
      <c r="O38" s="390">
        <f t="shared" si="58"/>
        <v>5085.7931570876599</v>
      </c>
      <c r="P38" s="372">
        <f t="shared" si="49"/>
        <v>43.749547617599994</v>
      </c>
      <c r="Q38" s="373">
        <f t="shared" si="59"/>
        <v>6269.7193359999992</v>
      </c>
      <c r="R38" s="378">
        <f t="shared" si="85"/>
        <v>940.45790039999986</v>
      </c>
      <c r="S38" s="373">
        <f t="shared" si="60"/>
        <v>5285.5118879823995</v>
      </c>
      <c r="T38" s="373">
        <f t="shared" si="61"/>
        <v>12539.438671999998</v>
      </c>
      <c r="U38" s="374">
        <f t="shared" si="86"/>
        <v>1067.4298339999998</v>
      </c>
      <c r="V38" s="373">
        <f t="shared" si="62"/>
        <v>5158.5399543823996</v>
      </c>
      <c r="W38" s="373">
        <f t="shared" si="63"/>
        <v>18809.158007999999</v>
      </c>
      <c r="X38" s="374">
        <f>Q38*0.2</f>
        <v>1253.9438671999999</v>
      </c>
      <c r="Y38" s="373">
        <f t="shared" si="64"/>
        <v>4972.0259211823995</v>
      </c>
      <c r="Z38" s="373">
        <f t="shared" si="65"/>
        <v>25078.877343999997</v>
      </c>
      <c r="AA38" s="376">
        <f>(Z38-25000)*0.27+(25000-W38)*0.2</f>
        <v>1259.4652812799995</v>
      </c>
      <c r="AB38" s="373">
        <f t="shared" si="66"/>
        <v>4966.5045071023997</v>
      </c>
      <c r="AC38" s="373">
        <f t="shared" si="67"/>
        <v>31348.596679999995</v>
      </c>
      <c r="AD38" s="376">
        <f t="shared" si="53"/>
        <v>1692.8242207199999</v>
      </c>
      <c r="AE38" s="373">
        <f t="shared" si="68"/>
        <v>4533.1455676623991</v>
      </c>
      <c r="AF38" s="373">
        <f t="shared" si="69"/>
        <v>37618.316015999997</v>
      </c>
      <c r="AG38" s="376">
        <f t="shared" si="70"/>
        <v>1692.8242207199999</v>
      </c>
      <c r="AH38" s="373">
        <f t="shared" si="71"/>
        <v>4533.1455676623991</v>
      </c>
      <c r="AI38" s="373">
        <f t="shared" si="72"/>
        <v>43888.035351999992</v>
      </c>
      <c r="AJ38" s="376">
        <f>H38*0.27</f>
        <v>1692.8242207199999</v>
      </c>
      <c r="AK38" s="373">
        <f t="shared" si="73"/>
        <v>4533.1455676623991</v>
      </c>
      <c r="AL38" s="373">
        <f t="shared" si="74"/>
        <v>50157.754687999994</v>
      </c>
      <c r="AM38" s="376">
        <f>H38*0.27</f>
        <v>1692.8242207199999</v>
      </c>
      <c r="AN38" s="373">
        <f t="shared" si="75"/>
        <v>4533.1455676623991</v>
      </c>
      <c r="AO38" s="373">
        <f t="shared" si="76"/>
        <v>56427.474023999996</v>
      </c>
      <c r="AP38" s="376">
        <f>H38*0.27</f>
        <v>1692.8242207199999</v>
      </c>
      <c r="AQ38" s="373">
        <f t="shared" si="77"/>
        <v>4533.1455676623991</v>
      </c>
      <c r="AR38" s="373">
        <f t="shared" si="78"/>
        <v>62697.19335999999</v>
      </c>
      <c r="AS38" s="376">
        <f>H38*0.27</f>
        <v>1692.8242207199999</v>
      </c>
      <c r="AT38" s="373">
        <f t="shared" si="79"/>
        <v>4533.1455676623991</v>
      </c>
      <c r="AU38" s="373">
        <f t="shared" si="80"/>
        <v>68966.912695999985</v>
      </c>
      <c r="AV38" s="376">
        <f>H38*0.27</f>
        <v>1692.8242207199999</v>
      </c>
      <c r="AW38" s="373">
        <f t="shared" si="81"/>
        <v>4533.1455676623991</v>
      </c>
      <c r="AX38" s="373">
        <f t="shared" si="82"/>
        <v>75236.632031999994</v>
      </c>
      <c r="AY38" s="376">
        <f>H38*0.27</f>
        <v>1692.8242207199999</v>
      </c>
      <c r="AZ38" s="373">
        <f t="shared" si="56"/>
        <v>4533.1455676623991</v>
      </c>
      <c r="BA38" s="292"/>
      <c r="BC38" s="358"/>
    </row>
    <row r="39" spans="1:55" ht="28.5" x14ac:dyDescent="0.45">
      <c r="A39" s="716" t="s">
        <v>29</v>
      </c>
      <c r="B39" s="574" t="s">
        <v>221</v>
      </c>
      <c r="C39" s="231">
        <v>600</v>
      </c>
      <c r="D39" s="234">
        <v>4996.0199999999995</v>
      </c>
      <c r="E39" s="234">
        <v>19984.079999999998</v>
      </c>
      <c r="F39" s="234">
        <f t="shared" si="47"/>
        <v>24980.1</v>
      </c>
      <c r="G39" s="233">
        <v>359</v>
      </c>
      <c r="H39" s="353">
        <f t="shared" si="57"/>
        <v>15636.257632000001</v>
      </c>
      <c r="I39" s="363">
        <v>0.64</v>
      </c>
      <c r="J39" s="362">
        <v>11600</v>
      </c>
      <c r="K39" s="361">
        <f t="shared" si="14"/>
        <v>10892.16542709547</v>
      </c>
      <c r="L39" s="390">
        <v>11308.756756228262</v>
      </c>
      <c r="M39" s="390">
        <f t="shared" si="48"/>
        <v>416.59132913279245</v>
      </c>
      <c r="N39" s="390"/>
      <c r="O39" s="390">
        <f t="shared" si="58"/>
        <v>11587.410028824968</v>
      </c>
      <c r="P39" s="372">
        <f t="shared" si="49"/>
        <v>105.56870037120001</v>
      </c>
      <c r="Q39" s="373">
        <f t="shared" si="59"/>
        <v>15636.257632000001</v>
      </c>
      <c r="R39" s="374">
        <f t="shared" si="50"/>
        <v>2627.2515264000003</v>
      </c>
      <c r="S39" s="373">
        <f t="shared" si="60"/>
        <v>12903.4374052288</v>
      </c>
      <c r="T39" s="373">
        <f t="shared" si="61"/>
        <v>31272.515264000001</v>
      </c>
      <c r="U39" s="376">
        <f>(T39-25000)*0.27+(25000-Q39)*0.2</f>
        <v>3566.3275948800001</v>
      </c>
      <c r="V39" s="373">
        <f t="shared" si="62"/>
        <v>11964.361336748801</v>
      </c>
      <c r="W39" s="373">
        <f t="shared" si="63"/>
        <v>46908.772896000002</v>
      </c>
      <c r="X39" s="376">
        <f t="shared" ref="X39" si="87">Q39*0.27</f>
        <v>4221.7895606400007</v>
      </c>
      <c r="Y39" s="373">
        <f t="shared" si="64"/>
        <v>11308.899370988802</v>
      </c>
      <c r="Z39" s="373">
        <f t="shared" si="65"/>
        <v>62545.030528000003</v>
      </c>
      <c r="AA39" s="376">
        <f t="shared" ref="AA39:AA45" si="88">H39*0.27</f>
        <v>4221.7895606400007</v>
      </c>
      <c r="AB39" s="373">
        <f t="shared" si="66"/>
        <v>11308.899370988802</v>
      </c>
      <c r="AC39" s="373">
        <f t="shared" si="67"/>
        <v>78181.288159999996</v>
      </c>
      <c r="AD39" s="376">
        <f t="shared" si="53"/>
        <v>4221.7895606400007</v>
      </c>
      <c r="AE39" s="373">
        <f t="shared" si="68"/>
        <v>11308.899370988802</v>
      </c>
      <c r="AF39" s="373">
        <f t="shared" si="69"/>
        <v>93817.545792000004</v>
      </c>
      <c r="AG39" s="377">
        <f>(AF39-88000)*0.35+(88000-AC39)*0.27</f>
        <v>4687.1932240000024</v>
      </c>
      <c r="AH39" s="373">
        <f t="shared" si="71"/>
        <v>10843.495707628799</v>
      </c>
      <c r="AI39" s="373">
        <f t="shared" si="72"/>
        <v>109453.80342400001</v>
      </c>
      <c r="AJ39" s="377">
        <f>H39*0.35</f>
        <v>5472.6901711999999</v>
      </c>
      <c r="AK39" s="373">
        <f t="shared" si="73"/>
        <v>10057.998760428802</v>
      </c>
      <c r="AL39" s="373">
        <f t="shared" si="74"/>
        <v>125090.06105600001</v>
      </c>
      <c r="AM39" s="377">
        <f>H39*0.35</f>
        <v>5472.6901711999999</v>
      </c>
      <c r="AN39" s="373">
        <f t="shared" si="75"/>
        <v>10057.998760428802</v>
      </c>
      <c r="AO39" s="373">
        <f t="shared" si="76"/>
        <v>140726.318688</v>
      </c>
      <c r="AP39" s="377">
        <f>H39*0.35</f>
        <v>5472.6901711999999</v>
      </c>
      <c r="AQ39" s="373">
        <f t="shared" si="77"/>
        <v>10057.998760428802</v>
      </c>
      <c r="AR39" s="373">
        <f t="shared" si="78"/>
        <v>156362.57631999999</v>
      </c>
      <c r="AS39" s="377">
        <f>H39*0.35</f>
        <v>5472.6901711999999</v>
      </c>
      <c r="AT39" s="373">
        <f t="shared" si="79"/>
        <v>10057.998760428802</v>
      </c>
      <c r="AU39" s="373">
        <f t="shared" si="80"/>
        <v>171998.83395200002</v>
      </c>
      <c r="AV39" s="377">
        <f t="shared" ref="AV39:AV45" si="89">H39*0.35</f>
        <v>5472.6901711999999</v>
      </c>
      <c r="AW39" s="373">
        <f t="shared" si="81"/>
        <v>10057.998760428802</v>
      </c>
      <c r="AX39" s="373">
        <f t="shared" si="82"/>
        <v>187635.09158400001</v>
      </c>
      <c r="AY39" s="377">
        <f t="shared" ref="AY39:AY45" si="90">H39*0.35</f>
        <v>5472.6901711999999</v>
      </c>
      <c r="AZ39" s="373">
        <f t="shared" si="56"/>
        <v>10057.998760428802</v>
      </c>
      <c r="BA39" s="292"/>
      <c r="BC39" s="358"/>
    </row>
    <row r="40" spans="1:55" ht="28.5" x14ac:dyDescent="0.45">
      <c r="A40" s="716"/>
      <c r="B40" s="574" t="s">
        <v>222</v>
      </c>
      <c r="C40" s="231">
        <v>600</v>
      </c>
      <c r="D40" s="234">
        <v>4996.0199999999995</v>
      </c>
      <c r="E40" s="234">
        <v>19984.079999999998</v>
      </c>
      <c r="F40" s="234">
        <f t="shared" si="47"/>
        <v>24980.1</v>
      </c>
      <c r="G40" s="233">
        <v>359</v>
      </c>
      <c r="H40" s="353">
        <f t="shared" si="57"/>
        <v>10308.501904000001</v>
      </c>
      <c r="I40" s="363">
        <v>0.33</v>
      </c>
      <c r="J40" s="362">
        <v>7900</v>
      </c>
      <c r="K40" s="361">
        <f t="shared" si="14"/>
        <v>7464.2873917002662</v>
      </c>
      <c r="L40" s="390">
        <v>7803.7321784010674</v>
      </c>
      <c r="M40" s="390">
        <f t="shared" si="48"/>
        <v>339.44478670080116</v>
      </c>
      <c r="N40" s="390"/>
      <c r="O40" s="390">
        <f t="shared" si="58"/>
        <v>7940.7312677662412</v>
      </c>
      <c r="P40" s="372">
        <f t="shared" si="49"/>
        <v>70.405512566400006</v>
      </c>
      <c r="Q40" s="373">
        <f t="shared" si="59"/>
        <v>10308.501904000001</v>
      </c>
      <c r="R40" s="374">
        <f t="shared" si="50"/>
        <v>1561.7003808000002</v>
      </c>
      <c r="S40" s="373">
        <f t="shared" si="60"/>
        <v>8676.3960106335999</v>
      </c>
      <c r="T40" s="373">
        <f t="shared" si="61"/>
        <v>20617.003808000001</v>
      </c>
      <c r="U40" s="374">
        <f>H40*0.2</f>
        <v>2061.7003808000004</v>
      </c>
      <c r="V40" s="373">
        <f t="shared" si="62"/>
        <v>8176.3960106335999</v>
      </c>
      <c r="W40" s="373">
        <f t="shared" si="63"/>
        <v>30925.505712000002</v>
      </c>
      <c r="X40" s="376">
        <f t="shared" ref="X40:X45" si="91">(W40-25000)*0.27+(25000-T40)*0.2</f>
        <v>2476.4857806400005</v>
      </c>
      <c r="Y40" s="373">
        <f t="shared" si="64"/>
        <v>7761.6106107936002</v>
      </c>
      <c r="Z40" s="373">
        <f t="shared" si="65"/>
        <v>41234.007616000003</v>
      </c>
      <c r="AA40" s="376">
        <f t="shared" si="88"/>
        <v>2783.2955140800004</v>
      </c>
      <c r="AB40" s="373">
        <f t="shared" si="66"/>
        <v>7454.8008773536003</v>
      </c>
      <c r="AC40" s="373">
        <f t="shared" si="67"/>
        <v>51542.509520000007</v>
      </c>
      <c r="AD40" s="376">
        <f t="shared" si="53"/>
        <v>2783.2955140800004</v>
      </c>
      <c r="AE40" s="373">
        <f t="shared" si="68"/>
        <v>7454.8008773536003</v>
      </c>
      <c r="AF40" s="373">
        <f t="shared" si="69"/>
        <v>61851.011424000004</v>
      </c>
      <c r="AG40" s="376">
        <f t="shared" ref="AG40:AG51" si="92">H40*0.27</f>
        <v>2783.2955140800004</v>
      </c>
      <c r="AH40" s="373">
        <f t="shared" si="71"/>
        <v>7454.8008773536003</v>
      </c>
      <c r="AI40" s="373">
        <f t="shared" si="72"/>
        <v>72159.513328000001</v>
      </c>
      <c r="AJ40" s="376">
        <f>H40*0.27</f>
        <v>2783.2955140800004</v>
      </c>
      <c r="AK40" s="373">
        <f t="shared" si="73"/>
        <v>7454.8008773536003</v>
      </c>
      <c r="AL40" s="373">
        <f t="shared" si="74"/>
        <v>82468.015232000005</v>
      </c>
      <c r="AM40" s="376">
        <f>H40*0.27</f>
        <v>2783.2955140800004</v>
      </c>
      <c r="AN40" s="373">
        <f t="shared" si="75"/>
        <v>7454.8008773536003</v>
      </c>
      <c r="AO40" s="373">
        <f t="shared" si="76"/>
        <v>92776.517136000009</v>
      </c>
      <c r="AP40" s="377">
        <f>(AO40-88000)*0.35+(88000-AL40)*0.27</f>
        <v>3165.4168849600019</v>
      </c>
      <c r="AQ40" s="373">
        <f t="shared" si="77"/>
        <v>7072.6795064735988</v>
      </c>
      <c r="AR40" s="373">
        <f t="shared" si="78"/>
        <v>103085.01904000001</v>
      </c>
      <c r="AS40" s="377">
        <f>H40*0.35</f>
        <v>3607.9756664000001</v>
      </c>
      <c r="AT40" s="373">
        <f t="shared" si="79"/>
        <v>6630.120725033601</v>
      </c>
      <c r="AU40" s="373">
        <f t="shared" si="80"/>
        <v>113393.520944</v>
      </c>
      <c r="AV40" s="377">
        <f t="shared" si="89"/>
        <v>3607.9756664000001</v>
      </c>
      <c r="AW40" s="373">
        <f t="shared" si="81"/>
        <v>6630.120725033601</v>
      </c>
      <c r="AX40" s="373">
        <f t="shared" si="82"/>
        <v>123702.02284800001</v>
      </c>
      <c r="AY40" s="377">
        <f t="shared" si="90"/>
        <v>3607.9756664000001</v>
      </c>
      <c r="AZ40" s="373">
        <f t="shared" si="56"/>
        <v>6630.120725033601</v>
      </c>
      <c r="BA40" s="292"/>
      <c r="BC40" s="358"/>
    </row>
    <row r="41" spans="1:55" ht="28.5" x14ac:dyDescent="0.45">
      <c r="A41" s="716"/>
      <c r="B41" s="347" t="s">
        <v>32</v>
      </c>
      <c r="C41" s="283">
        <v>450</v>
      </c>
      <c r="D41" s="238">
        <v>4996.0199999999995</v>
      </c>
      <c r="E41" s="238">
        <v>14988.06</v>
      </c>
      <c r="F41" s="238">
        <f t="shared" si="47"/>
        <v>19984.079999999998</v>
      </c>
      <c r="G41" s="233">
        <v>359</v>
      </c>
      <c r="H41" s="353">
        <f t="shared" si="57"/>
        <v>11984.167011999998</v>
      </c>
      <c r="I41" s="363">
        <v>0.56999999999999995</v>
      </c>
      <c r="J41" s="362">
        <v>9000</v>
      </c>
      <c r="K41" s="361">
        <f t="shared" si="14"/>
        <v>8542.4103221874648</v>
      </c>
      <c r="L41" s="390">
        <v>8800.8512393346664</v>
      </c>
      <c r="M41" s="390">
        <f t="shared" si="48"/>
        <v>258.44091714720162</v>
      </c>
      <c r="N41" s="390"/>
      <c r="O41" s="390">
        <f t="shared" si="58"/>
        <v>9087.6705555185799</v>
      </c>
      <c r="P41" s="372">
        <f t="shared" si="49"/>
        <v>81.46490227919999</v>
      </c>
      <c r="Q41" s="373">
        <f t="shared" si="59"/>
        <v>11984.167011999998</v>
      </c>
      <c r="R41" s="374">
        <f t="shared" si="50"/>
        <v>1896.8334023999996</v>
      </c>
      <c r="S41" s="373">
        <f t="shared" si="60"/>
        <v>10005.868707320798</v>
      </c>
      <c r="T41" s="373">
        <f t="shared" si="61"/>
        <v>23968.334023999996</v>
      </c>
      <c r="U41" s="374">
        <f>H41*0.2</f>
        <v>2396.8334023999996</v>
      </c>
      <c r="V41" s="373">
        <f t="shared" si="62"/>
        <v>9505.8687073207984</v>
      </c>
      <c r="W41" s="373">
        <f t="shared" si="63"/>
        <v>35952.501035999994</v>
      </c>
      <c r="X41" s="376">
        <f t="shared" si="91"/>
        <v>3163.5084749199996</v>
      </c>
      <c r="Y41" s="373">
        <f t="shared" si="64"/>
        <v>8739.1936348007985</v>
      </c>
      <c r="Z41" s="373">
        <f t="shared" si="65"/>
        <v>47936.668047999992</v>
      </c>
      <c r="AA41" s="376">
        <f t="shared" si="88"/>
        <v>3235.7250932399998</v>
      </c>
      <c r="AB41" s="373">
        <f t="shared" si="66"/>
        <v>8666.9770164807978</v>
      </c>
      <c r="AC41" s="373">
        <f t="shared" si="67"/>
        <v>59920.83505999999</v>
      </c>
      <c r="AD41" s="376">
        <f t="shared" si="53"/>
        <v>3235.7250932399998</v>
      </c>
      <c r="AE41" s="373">
        <f t="shared" si="68"/>
        <v>8666.9770164807978</v>
      </c>
      <c r="AF41" s="373">
        <f t="shared" si="69"/>
        <v>71905.002071999988</v>
      </c>
      <c r="AG41" s="376">
        <f t="shared" si="92"/>
        <v>3235.7250932399998</v>
      </c>
      <c r="AH41" s="373">
        <f t="shared" si="71"/>
        <v>8666.9770164807978</v>
      </c>
      <c r="AI41" s="373">
        <f t="shared" si="72"/>
        <v>83889.169083999994</v>
      </c>
      <c r="AJ41" s="376">
        <f>H41*0.27</f>
        <v>3235.7250932399998</v>
      </c>
      <c r="AK41" s="373">
        <f t="shared" si="73"/>
        <v>8666.9770164807978</v>
      </c>
      <c r="AL41" s="373">
        <f t="shared" si="74"/>
        <v>95873.336095999985</v>
      </c>
      <c r="AM41" s="377">
        <f>(AL41-88000)*0.35+(88000-AI41)*0.27</f>
        <v>3865.5919809199963</v>
      </c>
      <c r="AN41" s="373">
        <f t="shared" si="75"/>
        <v>8037.1101288008012</v>
      </c>
      <c r="AO41" s="373">
        <f t="shared" si="76"/>
        <v>107857.50310799998</v>
      </c>
      <c r="AP41" s="377">
        <f>H41*0.35</f>
        <v>4194.4584541999993</v>
      </c>
      <c r="AQ41" s="373">
        <f t="shared" si="77"/>
        <v>7708.2436555207987</v>
      </c>
      <c r="AR41" s="373">
        <f t="shared" si="78"/>
        <v>119841.67011999998</v>
      </c>
      <c r="AS41" s="377">
        <f>H41*0.35</f>
        <v>4194.4584541999993</v>
      </c>
      <c r="AT41" s="373">
        <f t="shared" si="79"/>
        <v>7708.2436555207987</v>
      </c>
      <c r="AU41" s="373">
        <f t="shared" si="80"/>
        <v>131825.83713199999</v>
      </c>
      <c r="AV41" s="377">
        <f t="shared" si="89"/>
        <v>4194.4584541999993</v>
      </c>
      <c r="AW41" s="373">
        <f t="shared" si="81"/>
        <v>7708.2436555207987</v>
      </c>
      <c r="AX41" s="373">
        <f t="shared" si="82"/>
        <v>143810.00414399998</v>
      </c>
      <c r="AY41" s="377">
        <f t="shared" si="90"/>
        <v>4194.4584541999993</v>
      </c>
      <c r="AZ41" s="373">
        <f t="shared" si="56"/>
        <v>7708.2436555207987</v>
      </c>
      <c r="BA41" s="292"/>
      <c r="BC41" s="358"/>
    </row>
    <row r="42" spans="1:55" ht="28.5" x14ac:dyDescent="0.45">
      <c r="A42" s="716"/>
      <c r="B42" s="347" t="s">
        <v>237</v>
      </c>
      <c r="C42" s="283">
        <v>450</v>
      </c>
      <c r="D42" s="238">
        <v>4996.0199999999995</v>
      </c>
      <c r="E42" s="238">
        <v>14988.06</v>
      </c>
      <c r="F42" s="238">
        <f t="shared" si="47"/>
        <v>19984.079999999998</v>
      </c>
      <c r="G42" s="233">
        <v>359</v>
      </c>
      <c r="H42" s="353">
        <f t="shared" si="57"/>
        <v>10566.296536</v>
      </c>
      <c r="I42" s="363">
        <v>0.46</v>
      </c>
      <c r="J42" s="362">
        <v>8000</v>
      </c>
      <c r="K42" s="361">
        <f t="shared" si="14"/>
        <v>7630.1524579290672</v>
      </c>
      <c r="L42" s="390">
        <v>7803.7321784010674</v>
      </c>
      <c r="M42" s="390">
        <f t="shared" si="48"/>
        <v>173.57972047200019</v>
      </c>
      <c r="N42" s="390"/>
      <c r="O42" s="390">
        <f t="shared" si="58"/>
        <v>8117.1834658819871</v>
      </c>
      <c r="P42" s="372">
        <f t="shared" si="49"/>
        <v>72.106957137600006</v>
      </c>
      <c r="Q42" s="373">
        <f t="shared" si="59"/>
        <v>10566.296536</v>
      </c>
      <c r="R42" s="374">
        <f t="shared" si="50"/>
        <v>1613.2593072</v>
      </c>
      <c r="S42" s="373">
        <f t="shared" si="60"/>
        <v>8880.9302716624006</v>
      </c>
      <c r="T42" s="373">
        <f t="shared" si="61"/>
        <v>21132.593072</v>
      </c>
      <c r="U42" s="374">
        <f>H42*0.2</f>
        <v>2113.2593072</v>
      </c>
      <c r="V42" s="373">
        <f t="shared" si="62"/>
        <v>8380.9302716624006</v>
      </c>
      <c r="W42" s="373">
        <f t="shared" si="63"/>
        <v>31698.889607999998</v>
      </c>
      <c r="X42" s="376">
        <f t="shared" si="91"/>
        <v>2582.1815797599993</v>
      </c>
      <c r="Y42" s="373">
        <f t="shared" si="64"/>
        <v>7912.0079991024013</v>
      </c>
      <c r="Z42" s="373">
        <f t="shared" si="65"/>
        <v>42265.186143999999</v>
      </c>
      <c r="AA42" s="376">
        <f t="shared" si="88"/>
        <v>2852.90006472</v>
      </c>
      <c r="AB42" s="373">
        <f t="shared" si="66"/>
        <v>7641.2895141424005</v>
      </c>
      <c r="AC42" s="373">
        <f t="shared" si="67"/>
        <v>52831.482680000001</v>
      </c>
      <c r="AD42" s="376">
        <f t="shared" si="53"/>
        <v>2852.90006472</v>
      </c>
      <c r="AE42" s="373">
        <f t="shared" si="68"/>
        <v>7641.2895141424005</v>
      </c>
      <c r="AF42" s="373">
        <f t="shared" si="69"/>
        <v>63397.779215999995</v>
      </c>
      <c r="AG42" s="376">
        <f t="shared" si="92"/>
        <v>2852.90006472</v>
      </c>
      <c r="AH42" s="373">
        <f t="shared" si="71"/>
        <v>7641.2895141424005</v>
      </c>
      <c r="AI42" s="373">
        <f t="shared" si="72"/>
        <v>73964.075752000004</v>
      </c>
      <c r="AJ42" s="376">
        <f t="shared" ref="AJ42:AJ52" si="93">H42*0.27</f>
        <v>2852.90006472</v>
      </c>
      <c r="AK42" s="373">
        <f t="shared" si="73"/>
        <v>7641.2895141424005</v>
      </c>
      <c r="AL42" s="373">
        <f t="shared" si="74"/>
        <v>84530.372287999999</v>
      </c>
      <c r="AM42" s="376">
        <f>H42*0.27</f>
        <v>2852.90006472</v>
      </c>
      <c r="AN42" s="373">
        <f t="shared" si="75"/>
        <v>7641.2895141424005</v>
      </c>
      <c r="AO42" s="373">
        <f t="shared" si="76"/>
        <v>95096.668823999993</v>
      </c>
      <c r="AP42" s="377">
        <f>(AO42-88000)*0.35+(88000-AL42)*0.27</f>
        <v>3420.6335706399977</v>
      </c>
      <c r="AQ42" s="373">
        <f t="shared" si="77"/>
        <v>7073.5560082224029</v>
      </c>
      <c r="AR42" s="373">
        <f t="shared" si="78"/>
        <v>105662.96536</v>
      </c>
      <c r="AS42" s="377">
        <f>H42*0.35</f>
        <v>3698.2037875999995</v>
      </c>
      <c r="AT42" s="373">
        <f t="shared" si="79"/>
        <v>6795.9857912624011</v>
      </c>
      <c r="AU42" s="373">
        <f t="shared" si="80"/>
        <v>116229.261896</v>
      </c>
      <c r="AV42" s="377">
        <f t="shared" si="89"/>
        <v>3698.2037875999995</v>
      </c>
      <c r="AW42" s="373">
        <f t="shared" si="81"/>
        <v>6795.9857912624011</v>
      </c>
      <c r="AX42" s="373">
        <f t="shared" si="82"/>
        <v>126795.55843199999</v>
      </c>
      <c r="AY42" s="377">
        <f t="shared" si="90"/>
        <v>3698.2037875999995</v>
      </c>
      <c r="AZ42" s="373">
        <f t="shared" si="56"/>
        <v>6795.9857912624011</v>
      </c>
      <c r="BA42" s="292"/>
      <c r="BC42" s="358"/>
    </row>
    <row r="43" spans="1:55" ht="28.5" x14ac:dyDescent="0.45">
      <c r="A43" s="716"/>
      <c r="B43" s="347" t="s">
        <v>225</v>
      </c>
      <c r="C43" s="283">
        <v>450</v>
      </c>
      <c r="D43" s="238">
        <v>4996.0199999999995</v>
      </c>
      <c r="E43" s="238">
        <v>14988.06</v>
      </c>
      <c r="F43" s="238">
        <f t="shared" si="47"/>
        <v>19984.079999999998</v>
      </c>
      <c r="G43" s="233">
        <v>359</v>
      </c>
      <c r="H43" s="353">
        <f t="shared" si="57"/>
        <v>9148.426059999998</v>
      </c>
      <c r="I43" s="363">
        <v>0.35</v>
      </c>
      <c r="J43" s="362">
        <v>7000</v>
      </c>
      <c r="K43" s="361">
        <f t="shared" si="14"/>
        <v>6717.894593670665</v>
      </c>
      <c r="L43" s="390">
        <v>6897.2603048250676</v>
      </c>
      <c r="M43" s="390">
        <f t="shared" si="48"/>
        <v>179.36571115440256</v>
      </c>
      <c r="N43" s="390"/>
      <c r="O43" s="390">
        <f t="shared" si="58"/>
        <v>7146.6963762453888</v>
      </c>
      <c r="P43" s="372">
        <f t="shared" si="49"/>
        <v>62.749011995999986</v>
      </c>
      <c r="Q43" s="373">
        <f t="shared" si="59"/>
        <v>9148.426059999998</v>
      </c>
      <c r="R43" s="378">
        <f t="shared" ref="R43:R54" si="94">Q43*0.15</f>
        <v>1372.2639089999996</v>
      </c>
      <c r="S43" s="373">
        <f t="shared" si="60"/>
        <v>7713.4131390039984</v>
      </c>
      <c r="T43" s="373">
        <f t="shared" si="61"/>
        <v>18296.852119999996</v>
      </c>
      <c r="U43" s="374">
        <f t="shared" ref="U43:U51" si="95">(T43-10000)*0.2+(10000-Q43)*0.15</f>
        <v>1787.1065149999995</v>
      </c>
      <c r="V43" s="373">
        <f t="shared" si="62"/>
        <v>7298.5705330039982</v>
      </c>
      <c r="W43" s="373">
        <f t="shared" si="63"/>
        <v>27445.278179999994</v>
      </c>
      <c r="X43" s="376">
        <f t="shared" si="91"/>
        <v>2000.8546845999995</v>
      </c>
      <c r="Y43" s="373">
        <f t="shared" si="64"/>
        <v>7084.8223634039987</v>
      </c>
      <c r="Z43" s="373">
        <f t="shared" si="65"/>
        <v>36593.704239999992</v>
      </c>
      <c r="AA43" s="376">
        <f t="shared" si="88"/>
        <v>2470.0750361999994</v>
      </c>
      <c r="AB43" s="373">
        <f t="shared" si="66"/>
        <v>6615.6020118039978</v>
      </c>
      <c r="AC43" s="373">
        <f t="shared" si="67"/>
        <v>45742.13029999999</v>
      </c>
      <c r="AD43" s="376">
        <f t="shared" si="53"/>
        <v>2470.0750361999994</v>
      </c>
      <c r="AE43" s="373">
        <f t="shared" si="68"/>
        <v>6615.6020118039978</v>
      </c>
      <c r="AF43" s="373">
        <f t="shared" si="69"/>
        <v>54890.556359999988</v>
      </c>
      <c r="AG43" s="376">
        <f t="shared" si="92"/>
        <v>2470.0750361999994</v>
      </c>
      <c r="AH43" s="373">
        <f t="shared" si="71"/>
        <v>6615.6020118039978</v>
      </c>
      <c r="AI43" s="373">
        <f t="shared" si="72"/>
        <v>64038.982419999986</v>
      </c>
      <c r="AJ43" s="376">
        <f t="shared" si="93"/>
        <v>2470.0750361999994</v>
      </c>
      <c r="AK43" s="373">
        <f t="shared" si="73"/>
        <v>6615.6020118039978</v>
      </c>
      <c r="AL43" s="373">
        <f t="shared" si="74"/>
        <v>73187.408479999984</v>
      </c>
      <c r="AM43" s="376">
        <f t="shared" ref="AM43:AM54" si="96">H43*0.27</f>
        <v>2470.0750361999994</v>
      </c>
      <c r="AN43" s="373">
        <f t="shared" si="75"/>
        <v>6615.6020118039978</v>
      </c>
      <c r="AO43" s="373">
        <f t="shared" si="76"/>
        <v>82335.834539999982</v>
      </c>
      <c r="AP43" s="376">
        <f>H43*0.27</f>
        <v>2470.0750361999994</v>
      </c>
      <c r="AQ43" s="373">
        <f t="shared" si="77"/>
        <v>6615.6020118039978</v>
      </c>
      <c r="AR43" s="373">
        <f t="shared" si="78"/>
        <v>91484.26059999998</v>
      </c>
      <c r="AS43" s="377">
        <f>(AR43-88000)*0.35+(88000-AO43)*0.27</f>
        <v>2748.815884199998</v>
      </c>
      <c r="AT43" s="373">
        <f t="shared" si="79"/>
        <v>6336.8611638040002</v>
      </c>
      <c r="AU43" s="373">
        <f t="shared" si="80"/>
        <v>100632.68665999998</v>
      </c>
      <c r="AV43" s="377">
        <f t="shared" si="89"/>
        <v>3201.9491209999992</v>
      </c>
      <c r="AW43" s="373">
        <f t="shared" si="81"/>
        <v>5883.727927003998</v>
      </c>
      <c r="AX43" s="373">
        <f t="shared" si="82"/>
        <v>109781.11271999998</v>
      </c>
      <c r="AY43" s="377">
        <f t="shared" si="90"/>
        <v>3201.9491209999992</v>
      </c>
      <c r="AZ43" s="373">
        <f t="shared" si="56"/>
        <v>5883.727927003998</v>
      </c>
      <c r="BA43" s="292"/>
      <c r="BC43" s="358"/>
    </row>
    <row r="44" spans="1:55" ht="28.5" x14ac:dyDescent="0.45">
      <c r="A44" s="716"/>
      <c r="B44" s="347" t="s">
        <v>243</v>
      </c>
      <c r="C44" s="283">
        <v>450</v>
      </c>
      <c r="D44" s="238">
        <v>4996.0199999999995</v>
      </c>
      <c r="E44" s="238">
        <v>14988.06</v>
      </c>
      <c r="F44" s="238">
        <f t="shared" si="47"/>
        <v>19984.079999999998</v>
      </c>
      <c r="G44" s="233">
        <v>359</v>
      </c>
      <c r="H44" s="353">
        <f t="shared" si="57"/>
        <v>8761.7341119999983</v>
      </c>
      <c r="I44" s="363">
        <v>0.32</v>
      </c>
      <c r="J44" s="362">
        <v>6700</v>
      </c>
      <c r="K44" s="361">
        <f t="shared" si="14"/>
        <v>6469.096994327464</v>
      </c>
      <c r="L44" s="390">
        <v>6625.3187427522671</v>
      </c>
      <c r="M44" s="390">
        <f t="shared" si="48"/>
        <v>156.22174842480308</v>
      </c>
      <c r="N44" s="390"/>
      <c r="O44" s="390">
        <f t="shared" si="58"/>
        <v>6882.0180790717704</v>
      </c>
      <c r="P44" s="372">
        <f t="shared" si="49"/>
        <v>60.196845139199986</v>
      </c>
      <c r="Q44" s="373">
        <f t="shared" si="59"/>
        <v>8761.7341119999983</v>
      </c>
      <c r="R44" s="378">
        <f t="shared" si="94"/>
        <v>1314.2601167999997</v>
      </c>
      <c r="S44" s="373">
        <f t="shared" si="60"/>
        <v>7387.2771500607978</v>
      </c>
      <c r="T44" s="373">
        <f t="shared" si="61"/>
        <v>17523.468223999997</v>
      </c>
      <c r="U44" s="374">
        <f t="shared" si="95"/>
        <v>1690.4335279999998</v>
      </c>
      <c r="V44" s="373">
        <f t="shared" si="62"/>
        <v>7011.1037388607983</v>
      </c>
      <c r="W44" s="373">
        <f t="shared" si="63"/>
        <v>26285.202335999995</v>
      </c>
      <c r="X44" s="376">
        <f t="shared" si="91"/>
        <v>1842.3109859199994</v>
      </c>
      <c r="Y44" s="373">
        <f t="shared" si="64"/>
        <v>6859.2262809407985</v>
      </c>
      <c r="Z44" s="373">
        <f t="shared" si="65"/>
        <v>35046.936447999993</v>
      </c>
      <c r="AA44" s="376">
        <f t="shared" si="88"/>
        <v>2365.6682102399996</v>
      </c>
      <c r="AB44" s="373">
        <f t="shared" si="66"/>
        <v>6335.8690566207988</v>
      </c>
      <c r="AC44" s="373">
        <f t="shared" si="67"/>
        <v>43808.670559999991</v>
      </c>
      <c r="AD44" s="376">
        <f t="shared" si="53"/>
        <v>2365.6682102399996</v>
      </c>
      <c r="AE44" s="373">
        <f t="shared" si="68"/>
        <v>6335.8690566207988</v>
      </c>
      <c r="AF44" s="373">
        <f t="shared" si="69"/>
        <v>52570.40467199999</v>
      </c>
      <c r="AG44" s="376">
        <f t="shared" si="92"/>
        <v>2365.6682102399996</v>
      </c>
      <c r="AH44" s="373">
        <f t="shared" si="71"/>
        <v>6335.8690566207988</v>
      </c>
      <c r="AI44" s="373">
        <f t="shared" si="72"/>
        <v>61332.138783999988</v>
      </c>
      <c r="AJ44" s="376">
        <f t="shared" si="93"/>
        <v>2365.6682102399996</v>
      </c>
      <c r="AK44" s="373">
        <f t="shared" si="73"/>
        <v>6335.8690566207988</v>
      </c>
      <c r="AL44" s="373">
        <f t="shared" si="74"/>
        <v>70093.872895999986</v>
      </c>
      <c r="AM44" s="376">
        <f t="shared" si="96"/>
        <v>2365.6682102399996</v>
      </c>
      <c r="AN44" s="373">
        <f t="shared" si="75"/>
        <v>6335.8690566207988</v>
      </c>
      <c r="AO44" s="373">
        <f t="shared" si="76"/>
        <v>78855.607007999992</v>
      </c>
      <c r="AP44" s="376">
        <f>H44*0.27</f>
        <v>2365.6682102399996</v>
      </c>
      <c r="AQ44" s="373">
        <f t="shared" si="77"/>
        <v>6335.8690566207988</v>
      </c>
      <c r="AR44" s="373">
        <f t="shared" si="78"/>
        <v>87617.341119999983</v>
      </c>
      <c r="AS44" s="376">
        <f>H44*0.27</f>
        <v>2365.6682102399996</v>
      </c>
      <c r="AT44" s="373">
        <f t="shared" si="79"/>
        <v>6335.8690566207988</v>
      </c>
      <c r="AU44" s="373">
        <f t="shared" si="80"/>
        <v>96379.075231999974</v>
      </c>
      <c r="AV44" s="377">
        <f>(AU44-88000)*0.35+(88000-AR44)*0.27</f>
        <v>3035.9942287999952</v>
      </c>
      <c r="AW44" s="373">
        <f t="shared" si="81"/>
        <v>5665.5430380608032</v>
      </c>
      <c r="AX44" s="373">
        <f t="shared" si="82"/>
        <v>105140.80934399998</v>
      </c>
      <c r="AY44" s="377">
        <f t="shared" si="90"/>
        <v>3066.606939199999</v>
      </c>
      <c r="AZ44" s="373">
        <f t="shared" si="56"/>
        <v>5634.9303276607989</v>
      </c>
      <c r="BA44" s="292"/>
      <c r="BC44" s="358"/>
    </row>
    <row r="45" spans="1:55" ht="28.5" x14ac:dyDescent="0.45">
      <c r="A45" s="716"/>
      <c r="B45" s="574" t="s">
        <v>226</v>
      </c>
      <c r="C45" s="231">
        <v>200</v>
      </c>
      <c r="D45" s="234">
        <v>4996.0199999999995</v>
      </c>
      <c r="E45" s="234">
        <v>6661.36</v>
      </c>
      <c r="F45" s="234">
        <f t="shared" si="47"/>
        <v>11657.38</v>
      </c>
      <c r="G45" s="233">
        <v>359</v>
      </c>
      <c r="H45" s="353">
        <f t="shared" si="57"/>
        <v>8876.3095039999989</v>
      </c>
      <c r="I45" s="363">
        <v>0.74</v>
      </c>
      <c r="J45" s="362">
        <v>6800</v>
      </c>
      <c r="K45" s="361">
        <f t="shared" si="14"/>
        <v>6542.8148015402649</v>
      </c>
      <c r="L45" s="390">
        <v>6756.2535689354663</v>
      </c>
      <c r="M45" s="390">
        <f t="shared" si="48"/>
        <v>213.43876739520147</v>
      </c>
      <c r="N45" s="390"/>
      <c r="O45" s="390">
        <f t="shared" si="58"/>
        <v>6960.4412782343243</v>
      </c>
      <c r="P45" s="372">
        <f t="shared" si="49"/>
        <v>60.953042726399993</v>
      </c>
      <c r="Q45" s="373">
        <f t="shared" si="59"/>
        <v>8876.3095039999989</v>
      </c>
      <c r="R45" s="378">
        <f t="shared" si="94"/>
        <v>1331.4464255999999</v>
      </c>
      <c r="S45" s="373">
        <f t="shared" si="60"/>
        <v>7483.9100356735989</v>
      </c>
      <c r="T45" s="373">
        <f t="shared" si="61"/>
        <v>17752.619007999998</v>
      </c>
      <c r="U45" s="374">
        <f t="shared" si="95"/>
        <v>1719.0773759999997</v>
      </c>
      <c r="V45" s="373">
        <f t="shared" si="62"/>
        <v>7096.2790852735998</v>
      </c>
      <c r="W45" s="373">
        <f t="shared" si="63"/>
        <v>26628.928511999999</v>
      </c>
      <c r="X45" s="376">
        <f t="shared" si="91"/>
        <v>1889.2868966400001</v>
      </c>
      <c r="Y45" s="373">
        <f t="shared" si="64"/>
        <v>6926.0695646335989</v>
      </c>
      <c r="Z45" s="373">
        <f t="shared" si="65"/>
        <v>35505.238015999996</v>
      </c>
      <c r="AA45" s="376">
        <f t="shared" si="88"/>
        <v>2396.6035660799998</v>
      </c>
      <c r="AB45" s="373">
        <f t="shared" si="66"/>
        <v>6418.7528951935992</v>
      </c>
      <c r="AC45" s="373">
        <f t="shared" si="67"/>
        <v>44381.547519999993</v>
      </c>
      <c r="AD45" s="376">
        <f t="shared" si="53"/>
        <v>2396.6035660799998</v>
      </c>
      <c r="AE45" s="373">
        <f t="shared" si="68"/>
        <v>6418.7528951935992</v>
      </c>
      <c r="AF45" s="373">
        <f t="shared" si="69"/>
        <v>53257.857023999997</v>
      </c>
      <c r="AG45" s="376">
        <f t="shared" si="92"/>
        <v>2396.6035660799998</v>
      </c>
      <c r="AH45" s="373">
        <f t="shared" si="71"/>
        <v>6418.7528951935992</v>
      </c>
      <c r="AI45" s="373">
        <f t="shared" si="72"/>
        <v>62134.166527999994</v>
      </c>
      <c r="AJ45" s="376">
        <f t="shared" si="93"/>
        <v>2396.6035660799998</v>
      </c>
      <c r="AK45" s="373">
        <f t="shared" si="73"/>
        <v>6418.7528951935992</v>
      </c>
      <c r="AL45" s="373">
        <f t="shared" si="74"/>
        <v>71010.476031999991</v>
      </c>
      <c r="AM45" s="376">
        <f t="shared" si="96"/>
        <v>2396.6035660799998</v>
      </c>
      <c r="AN45" s="373">
        <f t="shared" si="75"/>
        <v>6418.7528951935992</v>
      </c>
      <c r="AO45" s="373">
        <f t="shared" si="76"/>
        <v>79886.785535999996</v>
      </c>
      <c r="AP45" s="376">
        <f>H45*0.27</f>
        <v>2396.6035660799998</v>
      </c>
      <c r="AQ45" s="373">
        <f t="shared" si="77"/>
        <v>6418.7528951935992</v>
      </c>
      <c r="AR45" s="373">
        <f t="shared" si="78"/>
        <v>88763.095039999986</v>
      </c>
      <c r="AS45" s="377">
        <f>(AR45-88000)*0.35+(88000-AO45)*0.27</f>
        <v>2457.6511692799963</v>
      </c>
      <c r="AT45" s="373">
        <f t="shared" si="79"/>
        <v>6357.7052919936032</v>
      </c>
      <c r="AU45" s="373">
        <f t="shared" si="80"/>
        <v>97639.40454399999</v>
      </c>
      <c r="AV45" s="377">
        <f t="shared" si="89"/>
        <v>3106.7083263999994</v>
      </c>
      <c r="AW45" s="373">
        <f t="shared" si="81"/>
        <v>5708.6481348735997</v>
      </c>
      <c r="AX45" s="373">
        <f t="shared" si="82"/>
        <v>106515.71404799999</v>
      </c>
      <c r="AY45" s="377">
        <f t="shared" si="90"/>
        <v>3106.7083263999994</v>
      </c>
      <c r="AZ45" s="373">
        <f t="shared" si="56"/>
        <v>5708.6481348735997</v>
      </c>
      <c r="BA45" s="292"/>
      <c r="BC45" s="358"/>
    </row>
    <row r="46" spans="1:55" ht="28.5" x14ac:dyDescent="0.45">
      <c r="A46" s="716"/>
      <c r="B46" s="574" t="s">
        <v>227</v>
      </c>
      <c r="C46" s="231">
        <v>200</v>
      </c>
      <c r="D46" s="234">
        <v>4996.0199999999995</v>
      </c>
      <c r="E46" s="234">
        <v>6661.36</v>
      </c>
      <c r="F46" s="234">
        <f t="shared" si="47"/>
        <v>11657.38</v>
      </c>
      <c r="G46" s="233">
        <v>359</v>
      </c>
      <c r="H46" s="353">
        <f t="shared" si="57"/>
        <v>7787.8432799999991</v>
      </c>
      <c r="I46" s="363">
        <v>0.55000000000000004</v>
      </c>
      <c r="J46" s="362">
        <v>6000</v>
      </c>
      <c r="K46" s="361">
        <f t="shared" si="14"/>
        <v>5842.4956330186651</v>
      </c>
      <c r="L46" s="390">
        <v>6025.1402412746656</v>
      </c>
      <c r="M46" s="390">
        <f t="shared" si="48"/>
        <v>182.64460825600054</v>
      </c>
      <c r="N46" s="390"/>
      <c r="O46" s="390">
        <f t="shared" si="58"/>
        <v>6215.4208861900697</v>
      </c>
      <c r="P46" s="372">
        <f t="shared" si="49"/>
        <v>53.769165647999991</v>
      </c>
      <c r="Q46" s="373">
        <f t="shared" si="59"/>
        <v>7787.8432799999991</v>
      </c>
      <c r="R46" s="378">
        <f t="shared" si="94"/>
        <v>1168.1764919999998</v>
      </c>
      <c r="S46" s="373">
        <f t="shared" si="60"/>
        <v>6565.8976223519994</v>
      </c>
      <c r="T46" s="373">
        <f t="shared" si="61"/>
        <v>15575.686559999998</v>
      </c>
      <c r="U46" s="374">
        <f t="shared" si="95"/>
        <v>1446.9608199999998</v>
      </c>
      <c r="V46" s="373">
        <f t="shared" si="62"/>
        <v>6287.1132943519988</v>
      </c>
      <c r="W46" s="373">
        <f t="shared" si="63"/>
        <v>23363.529839999996</v>
      </c>
      <c r="X46" s="374">
        <f>H46*0.2</f>
        <v>1557.5686559999999</v>
      </c>
      <c r="Y46" s="373">
        <f t="shared" si="64"/>
        <v>6176.5054583519996</v>
      </c>
      <c r="Z46" s="373">
        <f t="shared" si="65"/>
        <v>31151.373119999997</v>
      </c>
      <c r="AA46" s="376">
        <f>(Z46-25000)*0.27+(25000-W46)*0.2</f>
        <v>1988.1647744000002</v>
      </c>
      <c r="AB46" s="373">
        <f t="shared" si="66"/>
        <v>5745.9093399519988</v>
      </c>
      <c r="AC46" s="373">
        <f t="shared" si="67"/>
        <v>38939.216399999998</v>
      </c>
      <c r="AD46" s="376">
        <f t="shared" si="53"/>
        <v>2102.7176856000001</v>
      </c>
      <c r="AE46" s="373">
        <f t="shared" si="68"/>
        <v>5631.3564287519985</v>
      </c>
      <c r="AF46" s="373">
        <f t="shared" si="69"/>
        <v>46727.059679999991</v>
      </c>
      <c r="AG46" s="376">
        <f t="shared" si="92"/>
        <v>2102.7176856000001</v>
      </c>
      <c r="AH46" s="373">
        <f t="shared" si="71"/>
        <v>5631.3564287519985</v>
      </c>
      <c r="AI46" s="373">
        <f t="shared" si="72"/>
        <v>54514.902959999992</v>
      </c>
      <c r="AJ46" s="376">
        <f t="shared" si="93"/>
        <v>2102.7176856000001</v>
      </c>
      <c r="AK46" s="373">
        <f t="shared" si="73"/>
        <v>5631.3564287519985</v>
      </c>
      <c r="AL46" s="373">
        <f t="shared" si="74"/>
        <v>62302.746239999993</v>
      </c>
      <c r="AM46" s="376">
        <f t="shared" si="96"/>
        <v>2102.7176856000001</v>
      </c>
      <c r="AN46" s="373">
        <f t="shared" si="75"/>
        <v>5631.3564287519985</v>
      </c>
      <c r="AO46" s="373">
        <f t="shared" si="76"/>
        <v>70090.589519999994</v>
      </c>
      <c r="AP46" s="376">
        <f>H46*0.27</f>
        <v>2102.7176856000001</v>
      </c>
      <c r="AQ46" s="373">
        <f t="shared" si="77"/>
        <v>5631.3564287519985</v>
      </c>
      <c r="AR46" s="373">
        <f t="shared" si="78"/>
        <v>77878.432799999995</v>
      </c>
      <c r="AS46" s="376">
        <f>H46*0.27</f>
        <v>2102.7176856000001</v>
      </c>
      <c r="AT46" s="373">
        <f t="shared" si="79"/>
        <v>5631.3564287519985</v>
      </c>
      <c r="AU46" s="373">
        <f t="shared" si="80"/>
        <v>85666.276079999996</v>
      </c>
      <c r="AV46" s="376">
        <f>H46*0.27</f>
        <v>2102.7176856000001</v>
      </c>
      <c r="AW46" s="373">
        <f t="shared" si="81"/>
        <v>5631.3564287519985</v>
      </c>
      <c r="AX46" s="373">
        <f t="shared" si="82"/>
        <v>93454.119359999982</v>
      </c>
      <c r="AY46" s="377">
        <f>(AX46-88000)*0.35+(88000-AU46)*0.27</f>
        <v>2539.047234399995</v>
      </c>
      <c r="AZ46" s="373">
        <f t="shared" si="56"/>
        <v>5195.0268799520036</v>
      </c>
      <c r="BA46" s="292"/>
      <c r="BC46" s="358"/>
    </row>
    <row r="47" spans="1:55" ht="28.5" x14ac:dyDescent="0.45">
      <c r="A47" s="717" t="s">
        <v>31</v>
      </c>
      <c r="B47" s="350" t="s">
        <v>32</v>
      </c>
      <c r="C47" s="290">
        <v>270</v>
      </c>
      <c r="D47" s="238">
        <v>4996.0199999999995</v>
      </c>
      <c r="E47" s="238">
        <v>8992.8359999999993</v>
      </c>
      <c r="F47" s="238">
        <f t="shared" si="47"/>
        <v>13988.856</v>
      </c>
      <c r="G47" s="233">
        <v>359</v>
      </c>
      <c r="H47" s="353">
        <f t="shared" si="57"/>
        <v>9586.6769343999986</v>
      </c>
      <c r="I47" s="363">
        <v>0.64</v>
      </c>
      <c r="J47" s="362">
        <v>7351</v>
      </c>
      <c r="K47" s="361">
        <f t="shared" si="14"/>
        <v>6988.3991556569599</v>
      </c>
      <c r="L47" s="390">
        <v>7187.3313043693861</v>
      </c>
      <c r="M47" s="390">
        <f t="shared" si="48"/>
        <v>198.93214871242617</v>
      </c>
      <c r="N47" s="390"/>
      <c r="O47" s="390">
        <f t="shared" si="58"/>
        <v>7434.4671868691066</v>
      </c>
      <c r="P47" s="372">
        <f t="shared" si="49"/>
        <v>65.641467767039984</v>
      </c>
      <c r="Q47" s="373">
        <f t="shared" si="59"/>
        <v>9586.6769343999986</v>
      </c>
      <c r="R47" s="378">
        <f t="shared" si="94"/>
        <v>1438.0015401599996</v>
      </c>
      <c r="S47" s="373">
        <f t="shared" si="60"/>
        <v>8083.0339264729591</v>
      </c>
      <c r="T47" s="373">
        <f t="shared" si="61"/>
        <v>19173.353868799997</v>
      </c>
      <c r="U47" s="374">
        <f t="shared" si="95"/>
        <v>1896.6692335999996</v>
      </c>
      <c r="V47" s="373">
        <f t="shared" si="62"/>
        <v>7624.3662330329589</v>
      </c>
      <c r="W47" s="373">
        <f t="shared" si="63"/>
        <v>28760.030803199996</v>
      </c>
      <c r="X47" s="376">
        <f>(W47-25000)*0.27+(25000-T47)*0.2</f>
        <v>2180.5375431039997</v>
      </c>
      <c r="Y47" s="373">
        <f t="shared" si="64"/>
        <v>7340.4979235289593</v>
      </c>
      <c r="Z47" s="373">
        <f t="shared" si="65"/>
        <v>38346.707737599994</v>
      </c>
      <c r="AA47" s="376">
        <f>H47*0.27</f>
        <v>2588.4027722879996</v>
      </c>
      <c r="AB47" s="373">
        <f t="shared" si="66"/>
        <v>6932.6326943449585</v>
      </c>
      <c r="AC47" s="373">
        <f t="shared" si="67"/>
        <v>47933.384671999993</v>
      </c>
      <c r="AD47" s="376">
        <f t="shared" si="53"/>
        <v>2588.4027722879996</v>
      </c>
      <c r="AE47" s="373">
        <f t="shared" si="68"/>
        <v>6932.6326943449585</v>
      </c>
      <c r="AF47" s="373">
        <f t="shared" si="69"/>
        <v>57520.061606399991</v>
      </c>
      <c r="AG47" s="376">
        <f t="shared" si="92"/>
        <v>2588.4027722879996</v>
      </c>
      <c r="AH47" s="373">
        <f t="shared" si="71"/>
        <v>6932.6326943449585</v>
      </c>
      <c r="AI47" s="373">
        <f t="shared" si="72"/>
        <v>67106.738540799997</v>
      </c>
      <c r="AJ47" s="376">
        <f t="shared" si="93"/>
        <v>2588.4027722879996</v>
      </c>
      <c r="AK47" s="373">
        <f t="shared" si="73"/>
        <v>6932.6326943449585</v>
      </c>
      <c r="AL47" s="373">
        <f t="shared" si="74"/>
        <v>76693.415475199989</v>
      </c>
      <c r="AM47" s="376">
        <f t="shared" si="96"/>
        <v>2588.4027722879996</v>
      </c>
      <c r="AN47" s="373">
        <f t="shared" si="75"/>
        <v>6932.6326943449585</v>
      </c>
      <c r="AO47" s="373">
        <f t="shared" si="76"/>
        <v>86280.09240959998</v>
      </c>
      <c r="AP47" s="376">
        <f>H47*0.27</f>
        <v>2588.4027722879996</v>
      </c>
      <c r="AQ47" s="373">
        <f t="shared" si="77"/>
        <v>6932.6326943449585</v>
      </c>
      <c r="AR47" s="373">
        <f t="shared" si="78"/>
        <v>95866.769343999986</v>
      </c>
      <c r="AS47" s="377">
        <f>H47*0.35</f>
        <v>3355.3369270399994</v>
      </c>
      <c r="AT47" s="373">
        <f t="shared" si="79"/>
        <v>6165.6985395929587</v>
      </c>
      <c r="AU47" s="373">
        <f t="shared" si="80"/>
        <v>105453.44627839999</v>
      </c>
      <c r="AV47" s="377">
        <f>H47*0.35</f>
        <v>3355.3369270399994</v>
      </c>
      <c r="AW47" s="373">
        <f t="shared" si="81"/>
        <v>6165.6985395929587</v>
      </c>
      <c r="AX47" s="373">
        <f t="shared" si="82"/>
        <v>115040.12321279998</v>
      </c>
      <c r="AY47" s="377">
        <f>H47*0.35</f>
        <v>3355.3369270399994</v>
      </c>
      <c r="AZ47" s="373">
        <f t="shared" si="56"/>
        <v>6165.6985395929587</v>
      </c>
      <c r="BA47" s="292"/>
      <c r="BC47" s="358"/>
    </row>
    <row r="48" spans="1:55" ht="28.5" x14ac:dyDescent="0.45">
      <c r="A48" s="718"/>
      <c r="B48" s="350" t="s">
        <v>225</v>
      </c>
      <c r="C48" s="290">
        <v>270</v>
      </c>
      <c r="D48" s="238">
        <v>4996.0199999999995</v>
      </c>
      <c r="E48" s="238">
        <v>8992.8359999999993</v>
      </c>
      <c r="F48" s="238">
        <f t="shared" si="47"/>
        <v>13988.856</v>
      </c>
      <c r="G48" s="233">
        <v>359</v>
      </c>
      <c r="H48" s="353">
        <f t="shared" si="57"/>
        <v>7730.5555839999997</v>
      </c>
      <c r="I48" s="463">
        <v>0.4</v>
      </c>
      <c r="J48" s="362">
        <v>6000</v>
      </c>
      <c r="K48" s="361">
        <f t="shared" si="14"/>
        <v>5805.6367294122656</v>
      </c>
      <c r="L48" s="390">
        <v>5990.7884312490669</v>
      </c>
      <c r="M48" s="390">
        <f t="shared" si="48"/>
        <v>185.15170183680129</v>
      </c>
      <c r="N48" s="390"/>
      <c r="O48" s="390">
        <f t="shared" si="58"/>
        <v>6176.2092866087933</v>
      </c>
      <c r="P48" s="372">
        <f t="shared" si="49"/>
        <v>53.391066854399995</v>
      </c>
      <c r="Q48" s="373">
        <f t="shared" si="59"/>
        <v>7730.5555839999997</v>
      </c>
      <c r="R48" s="378">
        <f t="shared" si="94"/>
        <v>1159.5833375999998</v>
      </c>
      <c r="S48" s="373">
        <f t="shared" si="60"/>
        <v>6517.5811795455993</v>
      </c>
      <c r="T48" s="373">
        <f t="shared" si="61"/>
        <v>15461.111167999999</v>
      </c>
      <c r="U48" s="374">
        <f t="shared" si="95"/>
        <v>1432.6388959999999</v>
      </c>
      <c r="V48" s="373">
        <f t="shared" si="62"/>
        <v>6244.5256211455999</v>
      </c>
      <c r="W48" s="373">
        <f t="shared" si="63"/>
        <v>23191.666751999997</v>
      </c>
      <c r="X48" s="374">
        <f>H48*0.2</f>
        <v>1546.1111168</v>
      </c>
      <c r="Y48" s="373">
        <f t="shared" si="64"/>
        <v>6131.0534003455996</v>
      </c>
      <c r="Z48" s="373">
        <f t="shared" si="65"/>
        <v>30922.222335999999</v>
      </c>
      <c r="AA48" s="376">
        <f>(Z48-25000)*0.27+(25000-W48)*0.2</f>
        <v>1960.6666803200003</v>
      </c>
      <c r="AB48" s="373">
        <f t="shared" si="66"/>
        <v>5716.4978368255988</v>
      </c>
      <c r="AC48" s="373">
        <f t="shared" si="67"/>
        <v>38652.77792</v>
      </c>
      <c r="AD48" s="376">
        <f t="shared" si="53"/>
        <v>2087.2500076800002</v>
      </c>
      <c r="AE48" s="373">
        <f t="shared" si="68"/>
        <v>5589.9145094655996</v>
      </c>
      <c r="AF48" s="373">
        <f t="shared" si="69"/>
        <v>46383.333503999995</v>
      </c>
      <c r="AG48" s="376">
        <f t="shared" si="92"/>
        <v>2087.2500076800002</v>
      </c>
      <c r="AH48" s="373">
        <f t="shared" si="71"/>
        <v>5589.9145094655996</v>
      </c>
      <c r="AI48" s="373">
        <f t="shared" si="72"/>
        <v>54113.889087999996</v>
      </c>
      <c r="AJ48" s="376">
        <f t="shared" si="93"/>
        <v>2087.2500076800002</v>
      </c>
      <c r="AK48" s="373">
        <f t="shared" si="73"/>
        <v>5589.9145094655996</v>
      </c>
      <c r="AL48" s="373">
        <f t="shared" si="74"/>
        <v>61844.444671999998</v>
      </c>
      <c r="AM48" s="376">
        <f t="shared" si="96"/>
        <v>2087.2500076800002</v>
      </c>
      <c r="AN48" s="373">
        <f t="shared" si="75"/>
        <v>5589.9145094655996</v>
      </c>
      <c r="AO48" s="373">
        <f t="shared" si="76"/>
        <v>69575.000255999999</v>
      </c>
      <c r="AP48" s="376">
        <f t="shared" ref="AP48:AP54" si="97">H48*0.27</f>
        <v>2087.2500076800002</v>
      </c>
      <c r="AQ48" s="373">
        <f t="shared" si="77"/>
        <v>5589.9145094655996</v>
      </c>
      <c r="AR48" s="373">
        <f t="shared" si="78"/>
        <v>77305.555840000001</v>
      </c>
      <c r="AS48" s="376">
        <f>H48*0.27</f>
        <v>2087.2500076800002</v>
      </c>
      <c r="AT48" s="373">
        <f t="shared" si="79"/>
        <v>5589.9145094655996</v>
      </c>
      <c r="AU48" s="373">
        <f t="shared" si="80"/>
        <v>85036.111424000002</v>
      </c>
      <c r="AV48" s="376">
        <f>H48*0.27</f>
        <v>2087.2500076800002</v>
      </c>
      <c r="AW48" s="373">
        <f t="shared" si="81"/>
        <v>5589.9145094655996</v>
      </c>
      <c r="AX48" s="373">
        <f t="shared" si="82"/>
        <v>92766.667007999989</v>
      </c>
      <c r="AY48" s="377">
        <f>(AX48-88000)*0.35+(88000-AU48)*0.27</f>
        <v>2468.5833683199953</v>
      </c>
      <c r="AZ48" s="373">
        <f t="shared" si="56"/>
        <v>5208.581148825604</v>
      </c>
      <c r="BA48" s="292"/>
      <c r="BC48" s="358"/>
    </row>
    <row r="49" spans="1:55" ht="28.5" x14ac:dyDescent="0.45">
      <c r="A49" s="718"/>
      <c r="B49" s="351" t="s">
        <v>226</v>
      </c>
      <c r="C49" s="240">
        <v>180</v>
      </c>
      <c r="D49" s="234">
        <v>4996.0199999999995</v>
      </c>
      <c r="E49" s="234">
        <v>5995.2240000000002</v>
      </c>
      <c r="F49" s="234">
        <f t="shared" si="47"/>
        <v>10991.243999999999</v>
      </c>
      <c r="G49" s="233">
        <v>359</v>
      </c>
      <c r="H49" s="353">
        <f t="shared" si="57"/>
        <v>7885.2323632000007</v>
      </c>
      <c r="I49" s="363">
        <v>0.63</v>
      </c>
      <c r="J49" s="362">
        <v>6100</v>
      </c>
      <c r="K49" s="361">
        <f t="shared" si="14"/>
        <v>5905.1557691495473</v>
      </c>
      <c r="L49" s="390">
        <v>6063.3061811351463</v>
      </c>
      <c r="M49" s="390">
        <f t="shared" si="48"/>
        <v>158.15041198559902</v>
      </c>
      <c r="N49" s="390"/>
      <c r="O49" s="390">
        <f t="shared" si="58"/>
        <v>6282.0806054782424</v>
      </c>
      <c r="P49" s="372">
        <f t="shared" si="49"/>
        <v>54.411933597120004</v>
      </c>
      <c r="Q49" s="373">
        <f t="shared" si="59"/>
        <v>7885.2323632000007</v>
      </c>
      <c r="R49" s="378">
        <f t="shared" si="94"/>
        <v>1182.7848544800001</v>
      </c>
      <c r="S49" s="373">
        <f t="shared" si="60"/>
        <v>6648.0355751228808</v>
      </c>
      <c r="T49" s="373">
        <f t="shared" si="61"/>
        <v>15770.464726400001</v>
      </c>
      <c r="U49" s="374">
        <f t="shared" si="95"/>
        <v>1471.3080908000002</v>
      </c>
      <c r="V49" s="373">
        <f t="shared" si="62"/>
        <v>6359.5123388028805</v>
      </c>
      <c r="W49" s="373">
        <f t="shared" si="63"/>
        <v>23655.697089600002</v>
      </c>
      <c r="X49" s="374">
        <f>H49*0.2</f>
        <v>1577.0464726400003</v>
      </c>
      <c r="Y49" s="373">
        <f t="shared" si="64"/>
        <v>6253.7739569628802</v>
      </c>
      <c r="Z49" s="373">
        <f t="shared" si="65"/>
        <v>31540.929452800003</v>
      </c>
      <c r="AA49" s="376">
        <f>(Z49-25000)*0.27+(25000-W49)*0.2</f>
        <v>2034.9115343360004</v>
      </c>
      <c r="AB49" s="373">
        <f t="shared" si="66"/>
        <v>5795.9088952668808</v>
      </c>
      <c r="AC49" s="373">
        <f t="shared" si="67"/>
        <v>39426.161816000007</v>
      </c>
      <c r="AD49" s="376">
        <f t="shared" si="53"/>
        <v>2129.0127380640001</v>
      </c>
      <c r="AE49" s="373">
        <f t="shared" si="68"/>
        <v>5701.807691538881</v>
      </c>
      <c r="AF49" s="373">
        <f t="shared" si="69"/>
        <v>47311.394179200004</v>
      </c>
      <c r="AG49" s="376">
        <f t="shared" si="92"/>
        <v>2129.0127380640001</v>
      </c>
      <c r="AH49" s="373">
        <f t="shared" si="71"/>
        <v>5701.807691538881</v>
      </c>
      <c r="AI49" s="373">
        <f t="shared" si="72"/>
        <v>55196.626542400001</v>
      </c>
      <c r="AJ49" s="376">
        <f t="shared" si="93"/>
        <v>2129.0127380640001</v>
      </c>
      <c r="AK49" s="373">
        <f t="shared" si="73"/>
        <v>5701.807691538881</v>
      </c>
      <c r="AL49" s="373">
        <f t="shared" si="74"/>
        <v>63081.858905600006</v>
      </c>
      <c r="AM49" s="376">
        <f t="shared" si="96"/>
        <v>2129.0127380640001</v>
      </c>
      <c r="AN49" s="373">
        <f t="shared" si="75"/>
        <v>5701.807691538881</v>
      </c>
      <c r="AO49" s="373">
        <f t="shared" si="76"/>
        <v>70967.09126880001</v>
      </c>
      <c r="AP49" s="376">
        <f t="shared" si="97"/>
        <v>2129.0127380640001</v>
      </c>
      <c r="AQ49" s="373">
        <f t="shared" si="77"/>
        <v>5701.807691538881</v>
      </c>
      <c r="AR49" s="373">
        <f t="shared" si="78"/>
        <v>78852.323632000014</v>
      </c>
      <c r="AS49" s="376">
        <f>H49*0.27</f>
        <v>2129.0127380640001</v>
      </c>
      <c r="AT49" s="373">
        <f t="shared" si="79"/>
        <v>5701.807691538881</v>
      </c>
      <c r="AU49" s="373">
        <f t="shared" si="80"/>
        <v>86737.555995200004</v>
      </c>
      <c r="AV49" s="376">
        <f>H49*0.27</f>
        <v>2129.0127380640001</v>
      </c>
      <c r="AW49" s="373">
        <f t="shared" si="81"/>
        <v>5701.807691538881</v>
      </c>
      <c r="AX49" s="373">
        <f t="shared" si="82"/>
        <v>94622.788358400008</v>
      </c>
      <c r="AY49" s="377">
        <f>(AX49-88000)*0.35+(88000-AU49)*0.27</f>
        <v>2658.8358067360018</v>
      </c>
      <c r="AZ49" s="373">
        <f t="shared" si="56"/>
        <v>5171.9846228668794</v>
      </c>
      <c r="BA49" s="292"/>
      <c r="BC49" s="358"/>
    </row>
    <row r="50" spans="1:55" ht="28.5" x14ac:dyDescent="0.45">
      <c r="A50" s="718"/>
      <c r="B50" s="351" t="s">
        <v>227</v>
      </c>
      <c r="C50" s="240">
        <v>180</v>
      </c>
      <c r="D50" s="234">
        <v>4996.0199999999995</v>
      </c>
      <c r="E50" s="234">
        <v>5995.2240000000002</v>
      </c>
      <c r="F50" s="234">
        <f t="shared" si="47"/>
        <v>10991.243999999999</v>
      </c>
      <c r="G50" s="233">
        <v>359</v>
      </c>
      <c r="H50" s="353">
        <f t="shared" si="57"/>
        <v>6905.6127615999994</v>
      </c>
      <c r="I50" s="363">
        <v>0.44</v>
      </c>
      <c r="J50" s="362">
        <v>5400</v>
      </c>
      <c r="K50" s="361">
        <f t="shared" si="14"/>
        <v>5240.6508717414399</v>
      </c>
      <c r="L50" s="390">
        <v>5393.3113372057587</v>
      </c>
      <c r="M50" s="390">
        <f t="shared" si="48"/>
        <v>152.6604654643188</v>
      </c>
      <c r="N50" s="390"/>
      <c r="O50" s="390">
        <f t="shared" si="58"/>
        <v>5575.1605018525961</v>
      </c>
      <c r="P50" s="372">
        <f t="shared" si="49"/>
        <v>47.946444226559997</v>
      </c>
      <c r="Q50" s="373">
        <f t="shared" si="59"/>
        <v>6905.6127615999994</v>
      </c>
      <c r="R50" s="378">
        <f t="shared" si="94"/>
        <v>1035.8419142399998</v>
      </c>
      <c r="S50" s="373">
        <f t="shared" si="60"/>
        <v>5821.8244031334398</v>
      </c>
      <c r="T50" s="373">
        <f t="shared" si="61"/>
        <v>13811.225523199999</v>
      </c>
      <c r="U50" s="374">
        <f t="shared" si="95"/>
        <v>1226.4031903999999</v>
      </c>
      <c r="V50" s="373">
        <f t="shared" si="62"/>
        <v>5631.2631269734393</v>
      </c>
      <c r="W50" s="373">
        <f t="shared" si="63"/>
        <v>20716.838284799996</v>
      </c>
      <c r="X50" s="374">
        <f>H50*0.2</f>
        <v>1381.1225523200001</v>
      </c>
      <c r="Y50" s="373">
        <f t="shared" si="64"/>
        <v>5476.5437650534395</v>
      </c>
      <c r="Z50" s="373">
        <f t="shared" si="65"/>
        <v>27622.451046399998</v>
      </c>
      <c r="AA50" s="376">
        <f>(Z50-25000)*0.27+(25000-W50)*0.2</f>
        <v>1564.6941255680001</v>
      </c>
      <c r="AB50" s="373">
        <f t="shared" si="66"/>
        <v>5292.9721918054393</v>
      </c>
      <c r="AC50" s="373">
        <f t="shared" si="67"/>
        <v>34528.063807999999</v>
      </c>
      <c r="AD50" s="376">
        <f t="shared" si="53"/>
        <v>1864.5154456319999</v>
      </c>
      <c r="AE50" s="373">
        <f t="shared" si="68"/>
        <v>4993.1508717414399</v>
      </c>
      <c r="AF50" s="373">
        <f t="shared" si="69"/>
        <v>41433.676569599993</v>
      </c>
      <c r="AG50" s="376">
        <f t="shared" si="92"/>
        <v>1864.5154456319999</v>
      </c>
      <c r="AH50" s="373">
        <f t="shared" si="71"/>
        <v>4993.1508717414399</v>
      </c>
      <c r="AI50" s="373">
        <f t="shared" si="72"/>
        <v>48339.289331199994</v>
      </c>
      <c r="AJ50" s="376">
        <f t="shared" si="93"/>
        <v>1864.5154456319999</v>
      </c>
      <c r="AK50" s="373">
        <f t="shared" si="73"/>
        <v>4993.1508717414399</v>
      </c>
      <c r="AL50" s="373">
        <f t="shared" si="74"/>
        <v>55244.902092799995</v>
      </c>
      <c r="AM50" s="376">
        <f t="shared" si="96"/>
        <v>1864.5154456319999</v>
      </c>
      <c r="AN50" s="373">
        <f t="shared" si="75"/>
        <v>4993.1508717414399</v>
      </c>
      <c r="AO50" s="373">
        <f t="shared" si="76"/>
        <v>62150.514854399997</v>
      </c>
      <c r="AP50" s="376">
        <f t="shared" si="97"/>
        <v>1864.5154456319999</v>
      </c>
      <c r="AQ50" s="373">
        <f t="shared" si="77"/>
        <v>4993.1508717414399</v>
      </c>
      <c r="AR50" s="373">
        <f t="shared" si="78"/>
        <v>69056.127615999998</v>
      </c>
      <c r="AS50" s="376">
        <f>H50*0.27</f>
        <v>1864.5154456319999</v>
      </c>
      <c r="AT50" s="373">
        <f t="shared" si="79"/>
        <v>4993.1508717414399</v>
      </c>
      <c r="AU50" s="373">
        <f t="shared" si="80"/>
        <v>75961.740377599999</v>
      </c>
      <c r="AV50" s="376">
        <f>H50*0.27</f>
        <v>1864.5154456319999</v>
      </c>
      <c r="AW50" s="373">
        <f t="shared" si="81"/>
        <v>4993.1508717414399</v>
      </c>
      <c r="AX50" s="373">
        <f t="shared" si="82"/>
        <v>82867.353139199986</v>
      </c>
      <c r="AY50" s="376">
        <f t="shared" ref="AY50:AY54" si="98">H50*0.27</f>
        <v>1864.5154456319999</v>
      </c>
      <c r="AZ50" s="373">
        <f t="shared" si="56"/>
        <v>4993.1508717414399</v>
      </c>
      <c r="BA50" s="292"/>
      <c r="BC50" s="358"/>
    </row>
    <row r="51" spans="1:55" ht="28.5" x14ac:dyDescent="0.45">
      <c r="A51" s="718"/>
      <c r="B51" s="394" t="s">
        <v>228</v>
      </c>
      <c r="C51" s="240">
        <v>180</v>
      </c>
      <c r="D51" s="234">
        <v>4996.0199999999995</v>
      </c>
      <c r="E51" s="234">
        <v>5995.2240000000002</v>
      </c>
      <c r="F51" s="234">
        <f t="shared" si="47"/>
        <v>10991.243999999999</v>
      </c>
      <c r="G51" s="233">
        <v>359</v>
      </c>
      <c r="H51" s="353">
        <f t="shared" si="57"/>
        <v>5152.6092639999997</v>
      </c>
      <c r="I51" s="393">
        <v>0.1</v>
      </c>
      <c r="J51" s="362">
        <v>3900</v>
      </c>
      <c r="K51" s="361">
        <f t="shared" si="14"/>
        <v>3972.5281415775994</v>
      </c>
      <c r="L51" s="390">
        <v>4007.2237019103995</v>
      </c>
      <c r="M51" s="390">
        <f t="shared" si="48"/>
        <v>34.695560332800142</v>
      </c>
      <c r="N51" s="390"/>
      <c r="O51" s="390">
        <f t="shared" si="58"/>
        <v>4226.0937676357444</v>
      </c>
      <c r="P51" s="372">
        <f t="shared" si="49"/>
        <v>36.376621142399998</v>
      </c>
      <c r="Q51" s="373">
        <f t="shared" si="59"/>
        <v>5152.6092639999997</v>
      </c>
      <c r="R51" s="378">
        <f t="shared" si="94"/>
        <v>772.89138959999991</v>
      </c>
      <c r="S51" s="373">
        <f t="shared" si="60"/>
        <v>4343.3412532576003</v>
      </c>
      <c r="T51" s="373">
        <f t="shared" si="61"/>
        <v>10305.218527999999</v>
      </c>
      <c r="U51" s="374">
        <f t="shared" si="95"/>
        <v>788.15231599999981</v>
      </c>
      <c r="V51" s="373">
        <f t="shared" si="62"/>
        <v>4328.0803268576001</v>
      </c>
      <c r="W51" s="373">
        <f t="shared" si="63"/>
        <v>15457.827792</v>
      </c>
      <c r="X51" s="374">
        <f>H51*0.2</f>
        <v>1030.5218528</v>
      </c>
      <c r="Y51" s="373">
        <f t="shared" si="64"/>
        <v>4085.7107900575998</v>
      </c>
      <c r="Z51" s="373">
        <f t="shared" si="65"/>
        <v>20610.437055999999</v>
      </c>
      <c r="AA51" s="374">
        <f>H51*0.2</f>
        <v>1030.5218528</v>
      </c>
      <c r="AB51" s="373">
        <f t="shared" si="66"/>
        <v>4085.7107900575998</v>
      </c>
      <c r="AC51" s="373">
        <f t="shared" si="67"/>
        <v>25763.046319999998</v>
      </c>
      <c r="AD51" s="376">
        <f>(AC51-25000)*0.27+(25000-Z51)*0.2</f>
        <v>1083.9350951999998</v>
      </c>
      <c r="AE51" s="373">
        <f t="shared" si="68"/>
        <v>4032.2975476576003</v>
      </c>
      <c r="AF51" s="373">
        <f t="shared" si="69"/>
        <v>30915.655584</v>
      </c>
      <c r="AG51" s="376">
        <f t="shared" si="92"/>
        <v>1391.2045012799999</v>
      </c>
      <c r="AH51" s="373">
        <f t="shared" si="71"/>
        <v>3725.0281415775999</v>
      </c>
      <c r="AI51" s="373">
        <f t="shared" si="72"/>
        <v>36068.264847999999</v>
      </c>
      <c r="AJ51" s="376">
        <f t="shared" si="93"/>
        <v>1391.2045012799999</v>
      </c>
      <c r="AK51" s="373">
        <f t="shared" si="73"/>
        <v>3725.0281415775999</v>
      </c>
      <c r="AL51" s="373">
        <f t="shared" si="74"/>
        <v>41220.874111999998</v>
      </c>
      <c r="AM51" s="376">
        <f t="shared" si="96"/>
        <v>1391.2045012799999</v>
      </c>
      <c r="AN51" s="373">
        <f t="shared" si="75"/>
        <v>3725.0281415775999</v>
      </c>
      <c r="AO51" s="373">
        <f t="shared" si="76"/>
        <v>46373.483375999996</v>
      </c>
      <c r="AP51" s="376">
        <f t="shared" si="97"/>
        <v>1391.2045012799999</v>
      </c>
      <c r="AQ51" s="373">
        <f t="shared" si="77"/>
        <v>3725.0281415775999</v>
      </c>
      <c r="AR51" s="373">
        <f t="shared" si="78"/>
        <v>51526.092639999995</v>
      </c>
      <c r="AS51" s="376">
        <f>H51*0.27</f>
        <v>1391.2045012799999</v>
      </c>
      <c r="AT51" s="373">
        <f t="shared" si="79"/>
        <v>3725.0281415775999</v>
      </c>
      <c r="AU51" s="373">
        <f t="shared" si="80"/>
        <v>56678.701903999994</v>
      </c>
      <c r="AV51" s="376">
        <f>H51*0.27</f>
        <v>1391.2045012799999</v>
      </c>
      <c r="AW51" s="373">
        <f t="shared" si="81"/>
        <v>3725.0281415775999</v>
      </c>
      <c r="AX51" s="373">
        <f t="shared" si="82"/>
        <v>61831.311168</v>
      </c>
      <c r="AY51" s="376">
        <f t="shared" si="98"/>
        <v>1391.2045012799999</v>
      </c>
      <c r="AZ51" s="373">
        <f t="shared" si="56"/>
        <v>3725.0281415775999</v>
      </c>
      <c r="BA51" s="292"/>
      <c r="BC51" s="358"/>
    </row>
    <row r="52" spans="1:55" s="564" customFormat="1" ht="42" x14ac:dyDescent="0.45">
      <c r="A52" s="719"/>
      <c r="B52" s="553" t="s">
        <v>199</v>
      </c>
      <c r="C52" s="554">
        <v>125</v>
      </c>
      <c r="D52" s="468">
        <v>3331</v>
      </c>
      <c r="E52" s="468">
        <v>4163</v>
      </c>
      <c r="F52" s="468">
        <f t="shared" si="47"/>
        <v>7494</v>
      </c>
      <c r="G52" s="567">
        <v>278</v>
      </c>
      <c r="H52" s="555">
        <f>D52+E52*$H$29*$I52-G52</f>
        <v>4843.09</v>
      </c>
      <c r="I52" s="464">
        <v>0.5</v>
      </c>
      <c r="J52" s="470">
        <v>3800</v>
      </c>
      <c r="K52" s="556">
        <f t="shared" si="14"/>
        <v>3749.1565059999998</v>
      </c>
      <c r="L52" s="557">
        <v>3810.4870739999988</v>
      </c>
      <c r="M52" s="557">
        <f t="shared" si="48"/>
        <v>61.330567999998948</v>
      </c>
      <c r="N52" s="557"/>
      <c r="O52" s="557">
        <f t="shared" si="58"/>
        <v>3988.4643680851063</v>
      </c>
      <c r="P52" s="558">
        <f t="shared" si="49"/>
        <v>33.799194</v>
      </c>
      <c r="Q52" s="559">
        <f t="shared" si="59"/>
        <v>4843.09</v>
      </c>
      <c r="R52" s="560">
        <f t="shared" si="94"/>
        <v>726.46349999999995</v>
      </c>
      <c r="S52" s="561">
        <f t="shared" si="60"/>
        <v>4082.8273060000001</v>
      </c>
      <c r="T52" s="561">
        <f t="shared" si="61"/>
        <v>9686.18</v>
      </c>
      <c r="U52" s="560">
        <f>H52*0.15</f>
        <v>726.46349999999995</v>
      </c>
      <c r="V52" s="561">
        <f t="shared" si="62"/>
        <v>4082.8273060000001</v>
      </c>
      <c r="W52" s="561">
        <f t="shared" si="63"/>
        <v>14529.27</v>
      </c>
      <c r="X52" s="562">
        <f>(W52-10000)*0.2+(10000-T52)*0.15</f>
        <v>952.92700000000013</v>
      </c>
      <c r="Y52" s="561">
        <f>H52-P52-X52</f>
        <v>3856.3638059999998</v>
      </c>
      <c r="Z52" s="561">
        <f t="shared" si="65"/>
        <v>19372.36</v>
      </c>
      <c r="AA52" s="562">
        <f>H52*0.2</f>
        <v>968.61800000000005</v>
      </c>
      <c r="AB52" s="561">
        <f t="shared" si="66"/>
        <v>3840.672806</v>
      </c>
      <c r="AC52" s="561">
        <f t="shared" si="67"/>
        <v>24215.45</v>
      </c>
      <c r="AD52" s="562">
        <f>H52*0.2</f>
        <v>968.61800000000005</v>
      </c>
      <c r="AE52" s="561">
        <f t="shared" si="68"/>
        <v>3840.672806</v>
      </c>
      <c r="AF52" s="561">
        <f t="shared" si="69"/>
        <v>29058.54</v>
      </c>
      <c r="AG52" s="563">
        <f>(AF52-25000)*0.27+(25000-AC52)*0.2</f>
        <v>1252.7158000000002</v>
      </c>
      <c r="AH52" s="561">
        <f t="shared" si="71"/>
        <v>3556.575006</v>
      </c>
      <c r="AI52" s="561">
        <f t="shared" si="72"/>
        <v>33901.630000000005</v>
      </c>
      <c r="AJ52" s="563">
        <f t="shared" si="93"/>
        <v>1307.6343000000002</v>
      </c>
      <c r="AK52" s="561">
        <f t="shared" si="73"/>
        <v>3501.6565059999998</v>
      </c>
      <c r="AL52" s="561">
        <f t="shared" si="74"/>
        <v>38744.720000000001</v>
      </c>
      <c r="AM52" s="563">
        <f t="shared" si="96"/>
        <v>1307.6343000000002</v>
      </c>
      <c r="AN52" s="561">
        <f t="shared" si="75"/>
        <v>3501.6565059999998</v>
      </c>
      <c r="AO52" s="561">
        <f t="shared" si="76"/>
        <v>43587.81</v>
      </c>
      <c r="AP52" s="563">
        <f t="shared" si="97"/>
        <v>1307.6343000000002</v>
      </c>
      <c r="AQ52" s="561">
        <f t="shared" si="77"/>
        <v>3501.6565059999998</v>
      </c>
      <c r="AR52" s="561">
        <f t="shared" si="78"/>
        <v>48430.9</v>
      </c>
      <c r="AS52" s="563">
        <f>H52*0.27</f>
        <v>1307.6343000000002</v>
      </c>
      <c r="AT52" s="561">
        <f t="shared" si="79"/>
        <v>3501.6565059999998</v>
      </c>
      <c r="AU52" s="561">
        <f t="shared" si="80"/>
        <v>53273.990000000005</v>
      </c>
      <c r="AV52" s="563">
        <f>H52*0.27</f>
        <v>1307.6343000000002</v>
      </c>
      <c r="AW52" s="561">
        <f t="shared" si="81"/>
        <v>3501.6565059999998</v>
      </c>
      <c r="AX52" s="561">
        <f t="shared" si="82"/>
        <v>58117.08</v>
      </c>
      <c r="AY52" s="563">
        <f t="shared" si="98"/>
        <v>1307.6343000000002</v>
      </c>
      <c r="AZ52" s="561">
        <f t="shared" si="56"/>
        <v>3501.6565059999998</v>
      </c>
      <c r="BA52" s="566"/>
      <c r="BC52" s="565"/>
    </row>
    <row r="53" spans="1:55" ht="33.75" customHeight="1" x14ac:dyDescent="0.45">
      <c r="A53" s="752" t="s">
        <v>173</v>
      </c>
      <c r="B53" s="753"/>
      <c r="C53" s="241">
        <v>125</v>
      </c>
      <c r="D53" s="234">
        <v>3330.68</v>
      </c>
      <c r="E53" s="234">
        <v>4163.3499999999995</v>
      </c>
      <c r="F53" s="234">
        <f t="shared" si="47"/>
        <v>7494.0299999999988</v>
      </c>
      <c r="G53" s="233">
        <v>359</v>
      </c>
      <c r="H53" s="353">
        <f t="shared" si="57"/>
        <v>4439.6772099999998</v>
      </c>
      <c r="I53" s="464">
        <v>0.41</v>
      </c>
      <c r="J53" s="362">
        <v>3023</v>
      </c>
      <c r="K53" s="361">
        <f t="shared" si="14"/>
        <v>3447.2377246973333</v>
      </c>
      <c r="L53" s="390">
        <v>3048.4967947859991</v>
      </c>
      <c r="M53" s="390">
        <f t="shared" si="48"/>
        <v>-398.74092991133421</v>
      </c>
      <c r="N53" s="390"/>
      <c r="O53" s="390">
        <f t="shared" si="58"/>
        <v>3667.2741752099291</v>
      </c>
      <c r="P53" s="372">
        <f t="shared" si="49"/>
        <v>31.671269585999998</v>
      </c>
      <c r="Q53" s="373">
        <f t="shared" si="59"/>
        <v>4439.6772099999998</v>
      </c>
      <c r="R53" s="378">
        <f t="shared" si="94"/>
        <v>665.95158149999997</v>
      </c>
      <c r="S53" s="373">
        <f t="shared" si="60"/>
        <v>3742.0543589140002</v>
      </c>
      <c r="T53" s="373">
        <f t="shared" si="61"/>
        <v>8879.3544199999997</v>
      </c>
      <c r="U53" s="378">
        <f>H53*0.15</f>
        <v>665.95158149999997</v>
      </c>
      <c r="V53" s="373">
        <f t="shared" si="62"/>
        <v>3742.0543589140002</v>
      </c>
      <c r="W53" s="373">
        <f t="shared" si="63"/>
        <v>13319.031629999999</v>
      </c>
      <c r="X53" s="374">
        <f>(W53-10000)*0.2+(10000-T53)*0.15</f>
        <v>831.90316299999995</v>
      </c>
      <c r="Y53" s="373">
        <f t="shared" si="64"/>
        <v>3576.1027774140002</v>
      </c>
      <c r="Z53" s="373">
        <f t="shared" si="65"/>
        <v>17758.708839999999</v>
      </c>
      <c r="AA53" s="374">
        <f t="shared" ref="AA53:AA54" si="99">H53*0.2</f>
        <v>887.93544199999997</v>
      </c>
      <c r="AB53" s="373">
        <f t="shared" si="66"/>
        <v>3520.0704984140002</v>
      </c>
      <c r="AC53" s="373">
        <f t="shared" si="67"/>
        <v>22198.386050000001</v>
      </c>
      <c r="AD53" s="374">
        <f>H53*0.2</f>
        <v>887.93544199999997</v>
      </c>
      <c r="AE53" s="373">
        <f t="shared" si="68"/>
        <v>3520.0704984140002</v>
      </c>
      <c r="AF53" s="373">
        <f t="shared" si="69"/>
        <v>26638.063259999999</v>
      </c>
      <c r="AG53" s="563">
        <f>(AF53-25000)*0.27+(25000-AC53)*0.2</f>
        <v>1002.5998701999996</v>
      </c>
      <c r="AH53" s="373">
        <f t="shared" si="71"/>
        <v>3405.4060702140005</v>
      </c>
      <c r="AI53" s="373">
        <f t="shared" si="72"/>
        <v>31077.740469999997</v>
      </c>
      <c r="AJ53" s="376">
        <f>(AI53-25000)*0.27+(25000-AF53)*0.2</f>
        <v>1313.3772748999995</v>
      </c>
      <c r="AK53" s="373">
        <f t="shared" si="73"/>
        <v>3094.6286655140007</v>
      </c>
      <c r="AL53" s="373">
        <f t="shared" si="74"/>
        <v>35517.417679999999</v>
      </c>
      <c r="AM53" s="376">
        <f t="shared" si="96"/>
        <v>1198.7128467</v>
      </c>
      <c r="AN53" s="373">
        <f t="shared" si="75"/>
        <v>3209.293093714</v>
      </c>
      <c r="AO53" s="373">
        <f t="shared" si="76"/>
        <v>39957.09489</v>
      </c>
      <c r="AP53" s="376">
        <f t="shared" si="97"/>
        <v>1198.7128467</v>
      </c>
      <c r="AQ53" s="373">
        <f t="shared" si="77"/>
        <v>3209.293093714</v>
      </c>
      <c r="AR53" s="373">
        <f t="shared" si="78"/>
        <v>44396.772100000002</v>
      </c>
      <c r="AS53" s="376">
        <f t="shared" ref="AS53:AS54" si="100">H53*0.27</f>
        <v>1198.7128467</v>
      </c>
      <c r="AT53" s="373">
        <f t="shared" si="79"/>
        <v>3209.293093714</v>
      </c>
      <c r="AU53" s="373">
        <f t="shared" si="80"/>
        <v>48836.449309999996</v>
      </c>
      <c r="AV53" s="376">
        <f t="shared" ref="AV53:AV54" si="101">H53*0.27</f>
        <v>1198.7128467</v>
      </c>
      <c r="AW53" s="373">
        <f t="shared" si="81"/>
        <v>3209.293093714</v>
      </c>
      <c r="AX53" s="373">
        <f t="shared" si="82"/>
        <v>53276.126519999998</v>
      </c>
      <c r="AY53" s="376">
        <f t="shared" si="98"/>
        <v>1198.7128467</v>
      </c>
      <c r="AZ53" s="373">
        <f t="shared" si="56"/>
        <v>3209.293093714</v>
      </c>
      <c r="BA53" s="292"/>
      <c r="BC53" s="358"/>
    </row>
    <row r="54" spans="1:55" ht="29.25" thickBot="1" x14ac:dyDescent="0.5">
      <c r="A54" s="734" t="s">
        <v>174</v>
      </c>
      <c r="B54" s="735"/>
      <c r="C54" s="305">
        <v>75</v>
      </c>
      <c r="D54" s="306">
        <v>2498.0099999999998</v>
      </c>
      <c r="E54" s="306">
        <v>2498</v>
      </c>
      <c r="F54" s="306">
        <f t="shared" si="47"/>
        <v>4996.01</v>
      </c>
      <c r="G54" s="233">
        <v>278</v>
      </c>
      <c r="H54" s="353">
        <f t="shared" si="57"/>
        <v>3573.4263999999994</v>
      </c>
      <c r="I54" s="363">
        <v>0.63</v>
      </c>
      <c r="J54" s="362">
        <v>2822</v>
      </c>
      <c r="K54" s="361">
        <f t="shared" si="14"/>
        <v>2830.6818577599993</v>
      </c>
      <c r="L54" s="390">
        <v>2921.7573390399998</v>
      </c>
      <c r="M54" s="390">
        <f t="shared" si="48"/>
        <v>91.075481280000531</v>
      </c>
      <c r="N54" s="390"/>
      <c r="O54" s="390">
        <f t="shared" si="58"/>
        <v>3011.3636784680843</v>
      </c>
      <c r="P54" s="372">
        <f t="shared" si="49"/>
        <v>25.419414239999995</v>
      </c>
      <c r="Q54" s="373">
        <f t="shared" si="59"/>
        <v>3573.4263999999994</v>
      </c>
      <c r="R54" s="378">
        <f t="shared" si="94"/>
        <v>536.01395999999988</v>
      </c>
      <c r="S54" s="373">
        <f t="shared" si="60"/>
        <v>3011.9930257599995</v>
      </c>
      <c r="T54" s="373">
        <f t="shared" si="61"/>
        <v>7146.8527999999988</v>
      </c>
      <c r="U54" s="378">
        <f>H54*0.15</f>
        <v>536.01395999999988</v>
      </c>
      <c r="V54" s="373">
        <f t="shared" si="62"/>
        <v>3011.9930257599995</v>
      </c>
      <c r="W54" s="373">
        <f t="shared" si="63"/>
        <v>10720.279199999997</v>
      </c>
      <c r="X54" s="374">
        <f>(W54-10000)*0.2+(10000-T54)*0.15</f>
        <v>572.02791999999965</v>
      </c>
      <c r="Y54" s="373">
        <f t="shared" si="64"/>
        <v>2975.9790657599997</v>
      </c>
      <c r="Z54" s="373">
        <f t="shared" si="65"/>
        <v>14293.705599999998</v>
      </c>
      <c r="AA54" s="374">
        <f t="shared" si="99"/>
        <v>714.68527999999992</v>
      </c>
      <c r="AB54" s="373">
        <f t="shared" si="66"/>
        <v>2833.3217057599995</v>
      </c>
      <c r="AC54" s="373">
        <f t="shared" si="67"/>
        <v>17867.131999999998</v>
      </c>
      <c r="AD54" s="374">
        <f>H54*0.2</f>
        <v>714.68527999999992</v>
      </c>
      <c r="AE54" s="373">
        <f t="shared" si="68"/>
        <v>2833.3217057599995</v>
      </c>
      <c r="AF54" s="373">
        <f t="shared" si="69"/>
        <v>21440.558399999994</v>
      </c>
      <c r="AG54" s="374">
        <f>H54*0.2</f>
        <v>714.68527999999992</v>
      </c>
      <c r="AH54" s="373">
        <f t="shared" si="71"/>
        <v>2833.3217057599995</v>
      </c>
      <c r="AI54" s="373">
        <f t="shared" si="72"/>
        <v>25013.984799999995</v>
      </c>
      <c r="AJ54" s="376">
        <f>(AI54-25000)*0.27+(25000-AF54)*0.2</f>
        <v>715.66421599999978</v>
      </c>
      <c r="AK54" s="373">
        <f t="shared" si="73"/>
        <v>2832.3427697599996</v>
      </c>
      <c r="AL54" s="373">
        <f t="shared" si="74"/>
        <v>28587.411199999995</v>
      </c>
      <c r="AM54" s="376">
        <f t="shared" si="96"/>
        <v>964.82512799999995</v>
      </c>
      <c r="AN54" s="373">
        <f t="shared" si="75"/>
        <v>2583.1818577599993</v>
      </c>
      <c r="AO54" s="373">
        <f t="shared" si="76"/>
        <v>32160.837599999995</v>
      </c>
      <c r="AP54" s="376">
        <f t="shared" si="97"/>
        <v>964.82512799999995</v>
      </c>
      <c r="AQ54" s="373">
        <f t="shared" si="77"/>
        <v>2583.1818577599993</v>
      </c>
      <c r="AR54" s="373">
        <f t="shared" si="78"/>
        <v>35734.263999999996</v>
      </c>
      <c r="AS54" s="376">
        <f t="shared" si="100"/>
        <v>964.82512799999995</v>
      </c>
      <c r="AT54" s="373">
        <f t="shared" si="79"/>
        <v>2583.1818577599993</v>
      </c>
      <c r="AU54" s="373">
        <f t="shared" si="80"/>
        <v>39307.690399999992</v>
      </c>
      <c r="AV54" s="376">
        <f t="shared" si="101"/>
        <v>964.82512799999995</v>
      </c>
      <c r="AW54" s="373">
        <f t="shared" si="81"/>
        <v>2583.1818577599993</v>
      </c>
      <c r="AX54" s="373">
        <f t="shared" si="82"/>
        <v>42881.116799999989</v>
      </c>
      <c r="AY54" s="376">
        <f t="shared" si="98"/>
        <v>964.82512799999995</v>
      </c>
      <c r="AZ54" s="373">
        <f t="shared" si="56"/>
        <v>2583.1818577599993</v>
      </c>
      <c r="BA54" s="292"/>
      <c r="BC54" s="358"/>
    </row>
    <row r="55" spans="1:55" x14ac:dyDescent="0.35">
      <c r="AP55" s="379"/>
    </row>
  </sheetData>
  <mergeCells count="11">
    <mergeCell ref="A28:B28"/>
    <mergeCell ref="A1:F1"/>
    <mergeCell ref="A4:B4"/>
    <mergeCell ref="A6:A14"/>
    <mergeCell ref="A15:A23"/>
    <mergeCell ref="A24:A27"/>
    <mergeCell ref="A30:A38"/>
    <mergeCell ref="A39:A46"/>
    <mergeCell ref="A47:A52"/>
    <mergeCell ref="A53:B53"/>
    <mergeCell ref="A54:B5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opLeftCell="A19" zoomScale="60" zoomScaleNormal="60" workbookViewId="0">
      <selection activeCell="B26" sqref="B26"/>
    </sheetView>
  </sheetViews>
  <sheetFormatPr defaultRowHeight="21" x14ac:dyDescent="0.35"/>
  <cols>
    <col min="1" max="1" width="44" style="202" customWidth="1"/>
    <col min="2" max="2" width="114.85546875" style="130" customWidth="1"/>
    <col min="3" max="4" width="28.85546875" style="130" hidden="1" customWidth="1"/>
    <col min="5" max="6" width="27.5703125" customWidth="1"/>
    <col min="7" max="7" width="29.42578125" hidden="1" customWidth="1"/>
    <col min="8" max="8" width="27.5703125" style="577" customWidth="1"/>
    <col min="9" max="9" width="29.28515625" customWidth="1"/>
    <col min="10" max="10" width="27.5703125" customWidth="1"/>
    <col min="11" max="11" width="32" customWidth="1"/>
    <col min="12" max="12" width="24.140625" customWidth="1"/>
    <col min="13" max="13" width="29.7109375" customWidth="1"/>
  </cols>
  <sheetData>
    <row r="1" spans="1:17" ht="28.5" hidden="1" customHeight="1" x14ac:dyDescent="0.3">
      <c r="A1" s="660" t="s">
        <v>196</v>
      </c>
      <c r="B1" s="660"/>
      <c r="C1" s="660"/>
      <c r="D1" s="660"/>
      <c r="E1" s="660"/>
      <c r="F1" s="660"/>
      <c r="G1" s="660"/>
    </row>
    <row r="2" spans="1:17" ht="24" hidden="1" thickBot="1" x14ac:dyDescent="0.4">
      <c r="A2" s="192"/>
      <c r="B2" s="2"/>
      <c r="C2" s="2"/>
      <c r="D2" s="2"/>
      <c r="E2" s="2"/>
      <c r="F2" s="2"/>
      <c r="G2" s="2"/>
      <c r="J2" s="385"/>
    </row>
    <row r="3" spans="1:17" ht="27" hidden="1" thickBot="1" x14ac:dyDescent="0.3">
      <c r="A3" s="236" t="s">
        <v>1</v>
      </c>
      <c r="B3" s="4"/>
      <c r="C3" s="4"/>
      <c r="D3" s="4"/>
      <c r="E3" s="4"/>
      <c r="F3" s="4"/>
      <c r="G3" s="4"/>
    </row>
    <row r="4" spans="1:17" ht="87.75" customHeight="1" thickBot="1" x14ac:dyDescent="0.3">
      <c r="A4" s="775" t="s">
        <v>321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7"/>
    </row>
    <row r="5" spans="1:17" ht="105" customHeight="1" thickBot="1" x14ac:dyDescent="0.3">
      <c r="A5" s="757" t="s">
        <v>2</v>
      </c>
      <c r="B5" s="758"/>
      <c r="C5" s="595" t="s">
        <v>304</v>
      </c>
      <c r="D5" s="619" t="s">
        <v>229</v>
      </c>
      <c r="E5" s="595" t="s">
        <v>297</v>
      </c>
      <c r="F5" s="619" t="s">
        <v>307</v>
      </c>
      <c r="G5" s="529" t="s">
        <v>305</v>
      </c>
      <c r="H5" s="619" t="s">
        <v>298</v>
      </c>
      <c r="I5" s="529" t="s">
        <v>306</v>
      </c>
      <c r="J5" s="619" t="s">
        <v>245</v>
      </c>
      <c r="K5" s="619" t="s">
        <v>310</v>
      </c>
      <c r="L5" s="529" t="s">
        <v>5</v>
      </c>
    </row>
    <row r="6" spans="1:17" s="233" customFormat="1" ht="39.75" customHeight="1" x14ac:dyDescent="0.45">
      <c r="A6" s="526"/>
      <c r="B6" s="526"/>
      <c r="C6" s="526"/>
      <c r="D6" s="526"/>
      <c r="E6" s="526"/>
      <c r="F6" s="526" t="s">
        <v>308</v>
      </c>
      <c r="G6" s="526"/>
      <c r="H6" s="526" t="s">
        <v>309</v>
      </c>
      <c r="I6" s="526" t="s">
        <v>311</v>
      </c>
      <c r="J6" s="526" t="s">
        <v>313</v>
      </c>
      <c r="K6" s="526" t="s">
        <v>314</v>
      </c>
      <c r="L6" s="526" t="s">
        <v>315</v>
      </c>
    </row>
    <row r="7" spans="1:17" s="233" customFormat="1" ht="40.5" customHeight="1" x14ac:dyDescent="0.45">
      <c r="A7" s="786" t="s">
        <v>11</v>
      </c>
      <c r="B7" s="620" t="s">
        <v>212</v>
      </c>
      <c r="C7" s="234">
        <v>200</v>
      </c>
      <c r="D7" s="493">
        <v>6661</v>
      </c>
      <c r="E7" s="492">
        <v>550</v>
      </c>
      <c r="F7" s="493">
        <v>18318.739999999998</v>
      </c>
      <c r="G7" s="492">
        <f>D7+F7</f>
        <v>24979.739999999998</v>
      </c>
      <c r="H7" s="622">
        <v>0.7</v>
      </c>
      <c r="I7" s="592">
        <f>F7*0.93*H7</f>
        <v>11925.499739999997</v>
      </c>
      <c r="J7" s="493">
        <f>I7*0.0066</f>
        <v>78.70829828399998</v>
      </c>
      <c r="K7" s="493">
        <f>I7*0.27</f>
        <v>3219.8849297999996</v>
      </c>
      <c r="L7" s="592">
        <f>I7-J7-K7</f>
        <v>8626.9065119159968</v>
      </c>
    </row>
    <row r="8" spans="1:17" s="233" customFormat="1" ht="40.5" customHeight="1" x14ac:dyDescent="0.45">
      <c r="A8" s="787"/>
      <c r="B8" s="620" t="s">
        <v>211</v>
      </c>
      <c r="C8" s="234">
        <v>200</v>
      </c>
      <c r="D8" s="493">
        <v>6661</v>
      </c>
      <c r="E8" s="492">
        <v>550</v>
      </c>
      <c r="F8" s="493">
        <v>18318.739999999998</v>
      </c>
      <c r="G8" s="492">
        <f t="shared" ref="G8:G29" si="0">D8+F8</f>
        <v>24979.739999999998</v>
      </c>
      <c r="H8" s="622">
        <v>0.33</v>
      </c>
      <c r="I8" s="592">
        <f t="shared" ref="I8:I29" si="1">F8*0.93*H8</f>
        <v>5622.0213059999996</v>
      </c>
      <c r="J8" s="493">
        <f t="shared" ref="J8:J29" si="2">I8*0.0066</f>
        <v>37.1053406196</v>
      </c>
      <c r="K8" s="493">
        <f t="shared" ref="K8:K29" si="3">I8*0.27</f>
        <v>1517.9457526199999</v>
      </c>
      <c r="L8" s="592">
        <f t="shared" ref="L8:L29" si="4">I8-J8-K8</f>
        <v>4066.9702127604</v>
      </c>
    </row>
    <row r="9" spans="1:17" s="233" customFormat="1" ht="40.5" customHeight="1" x14ac:dyDescent="0.45">
      <c r="A9" s="787"/>
      <c r="B9" s="620" t="s">
        <v>213</v>
      </c>
      <c r="C9" s="234">
        <v>200</v>
      </c>
      <c r="D9" s="493">
        <v>6661</v>
      </c>
      <c r="E9" s="492">
        <v>550</v>
      </c>
      <c r="F9" s="493">
        <v>18318.739999999998</v>
      </c>
      <c r="G9" s="492">
        <f t="shared" si="0"/>
        <v>24979.739999999998</v>
      </c>
      <c r="H9" s="622">
        <v>0.2</v>
      </c>
      <c r="I9" s="592">
        <f t="shared" si="1"/>
        <v>3407.2856400000001</v>
      </c>
      <c r="J9" s="493">
        <f t="shared" si="2"/>
        <v>22.488085223999999</v>
      </c>
      <c r="K9" s="493">
        <f t="shared" si="3"/>
        <v>919.96712280000008</v>
      </c>
      <c r="L9" s="592">
        <f t="shared" si="4"/>
        <v>2464.830431976</v>
      </c>
    </row>
    <row r="10" spans="1:17" s="233" customFormat="1" ht="40.5" customHeight="1" x14ac:dyDescent="0.45">
      <c r="A10" s="787"/>
      <c r="B10" s="620" t="s">
        <v>32</v>
      </c>
      <c r="C10" s="234">
        <v>200</v>
      </c>
      <c r="D10" s="493">
        <v>6661</v>
      </c>
      <c r="E10" s="492">
        <v>400</v>
      </c>
      <c r="F10" s="493">
        <v>13322.72</v>
      </c>
      <c r="G10" s="492">
        <f t="shared" si="0"/>
        <v>19983.72</v>
      </c>
      <c r="H10" s="622">
        <v>0.63</v>
      </c>
      <c r="I10" s="592">
        <f t="shared" si="1"/>
        <v>7805.7816480000001</v>
      </c>
      <c r="J10" s="493">
        <f t="shared" si="2"/>
        <v>51.518158876800001</v>
      </c>
      <c r="K10" s="493">
        <f t="shared" si="3"/>
        <v>2107.5610449600003</v>
      </c>
      <c r="L10" s="592">
        <f t="shared" si="4"/>
        <v>5646.7024441632002</v>
      </c>
    </row>
    <row r="11" spans="1:17" s="233" customFormat="1" ht="40.5" customHeight="1" x14ac:dyDescent="0.45">
      <c r="A11" s="787"/>
      <c r="B11" s="620" t="s">
        <v>233</v>
      </c>
      <c r="C11" s="234">
        <v>200</v>
      </c>
      <c r="D11" s="493">
        <v>6661</v>
      </c>
      <c r="E11" s="492">
        <v>400</v>
      </c>
      <c r="F11" s="493">
        <v>13322.72</v>
      </c>
      <c r="G11" s="492">
        <f t="shared" si="0"/>
        <v>19983.72</v>
      </c>
      <c r="H11" s="622">
        <v>0.5</v>
      </c>
      <c r="I11" s="592">
        <f t="shared" si="1"/>
        <v>6195.0648000000001</v>
      </c>
      <c r="J11" s="493">
        <f t="shared" si="2"/>
        <v>40.887427680000002</v>
      </c>
      <c r="K11" s="493">
        <f t="shared" si="3"/>
        <v>1672.667496</v>
      </c>
      <c r="L11" s="592">
        <f t="shared" si="4"/>
        <v>4481.5098763200003</v>
      </c>
    </row>
    <row r="12" spans="1:17" s="233" customFormat="1" ht="40.5" customHeight="1" x14ac:dyDescent="0.45">
      <c r="A12" s="787"/>
      <c r="B12" s="620" t="s">
        <v>234</v>
      </c>
      <c r="C12" s="234">
        <v>200</v>
      </c>
      <c r="D12" s="493">
        <v>6661</v>
      </c>
      <c r="E12" s="492">
        <v>300</v>
      </c>
      <c r="F12" s="493">
        <v>9992.0399999999991</v>
      </c>
      <c r="G12" s="492">
        <f t="shared" si="0"/>
        <v>16653.04</v>
      </c>
      <c r="H12" s="622">
        <v>0.42</v>
      </c>
      <c r="I12" s="592">
        <f t="shared" si="1"/>
        <v>3902.8908240000001</v>
      </c>
      <c r="J12" s="493">
        <f t="shared" si="2"/>
        <v>25.759079438400001</v>
      </c>
      <c r="K12" s="493">
        <f t="shared" si="3"/>
        <v>1053.7805224800002</v>
      </c>
      <c r="L12" s="592">
        <f t="shared" si="4"/>
        <v>2823.3512220816001</v>
      </c>
    </row>
    <row r="13" spans="1:17" s="380" customFormat="1" ht="40.5" customHeight="1" x14ac:dyDescent="0.45">
      <c r="A13" s="787"/>
      <c r="B13" s="620" t="s">
        <v>236</v>
      </c>
      <c r="C13" s="234">
        <v>200</v>
      </c>
      <c r="D13" s="493">
        <v>6661</v>
      </c>
      <c r="E13" s="492">
        <v>300</v>
      </c>
      <c r="F13" s="493">
        <v>9992.0399999999991</v>
      </c>
      <c r="G13" s="492">
        <f t="shared" si="0"/>
        <v>16653.04</v>
      </c>
      <c r="H13" s="622">
        <v>0.39</v>
      </c>
      <c r="I13" s="592">
        <f t="shared" si="1"/>
        <v>3624.1129080000001</v>
      </c>
      <c r="J13" s="493">
        <f t="shared" si="2"/>
        <v>23.919145192799999</v>
      </c>
      <c r="K13" s="493">
        <f t="shared" si="3"/>
        <v>978.51048516000003</v>
      </c>
      <c r="L13" s="592">
        <f t="shared" si="4"/>
        <v>2621.6832776472002</v>
      </c>
      <c r="M13" s="233"/>
      <c r="N13" s="233"/>
      <c r="O13" s="233"/>
      <c r="P13" s="233"/>
      <c r="Q13" s="233"/>
    </row>
    <row r="14" spans="1:17" s="233" customFormat="1" ht="40.5" customHeight="1" x14ac:dyDescent="0.45">
      <c r="A14" s="787"/>
      <c r="B14" s="620" t="s">
        <v>235</v>
      </c>
      <c r="C14" s="234">
        <v>200</v>
      </c>
      <c r="D14" s="493">
        <v>6661</v>
      </c>
      <c r="E14" s="492">
        <v>300</v>
      </c>
      <c r="F14" s="493">
        <v>9992.0399999999991</v>
      </c>
      <c r="G14" s="492">
        <f t="shared" si="0"/>
        <v>16653.04</v>
      </c>
      <c r="H14" s="622">
        <v>0.32</v>
      </c>
      <c r="I14" s="592">
        <f t="shared" si="1"/>
        <v>2973.6311040000001</v>
      </c>
      <c r="J14" s="493">
        <f t="shared" si="2"/>
        <v>19.6259652864</v>
      </c>
      <c r="K14" s="493">
        <f t="shared" si="3"/>
        <v>802.88039808000008</v>
      </c>
      <c r="L14" s="592">
        <f t="shared" si="4"/>
        <v>2151.1247406335997</v>
      </c>
    </row>
    <row r="15" spans="1:17" s="233" customFormat="1" ht="40.5" customHeight="1" x14ac:dyDescent="0.45">
      <c r="A15" s="788"/>
      <c r="B15" s="620" t="s">
        <v>216</v>
      </c>
      <c r="C15" s="234">
        <v>200</v>
      </c>
      <c r="D15" s="493">
        <v>6661</v>
      </c>
      <c r="E15" s="492">
        <v>300</v>
      </c>
      <c r="F15" s="493">
        <v>9992.0399999999991</v>
      </c>
      <c r="G15" s="492">
        <f t="shared" si="0"/>
        <v>16653.04</v>
      </c>
      <c r="H15" s="622">
        <v>0.22</v>
      </c>
      <c r="I15" s="592">
        <f t="shared" si="1"/>
        <v>2044.371384</v>
      </c>
      <c r="J15" s="493">
        <f t="shared" si="2"/>
        <v>13.4928511344</v>
      </c>
      <c r="K15" s="493">
        <f t="shared" si="3"/>
        <v>551.9802736800001</v>
      </c>
      <c r="L15" s="592">
        <f t="shared" si="4"/>
        <v>1478.8982591855997</v>
      </c>
    </row>
    <row r="16" spans="1:17" s="233" customFormat="1" ht="40.5" customHeight="1" x14ac:dyDescent="0.45">
      <c r="A16" s="789" t="s">
        <v>15</v>
      </c>
      <c r="B16" s="620" t="s">
        <v>215</v>
      </c>
      <c r="C16" s="234">
        <v>150.00810689085722</v>
      </c>
      <c r="D16" s="493">
        <v>4996.0199999999995</v>
      </c>
      <c r="E16" s="492">
        <v>600</v>
      </c>
      <c r="F16" s="493">
        <v>19984.079999999998</v>
      </c>
      <c r="G16" s="492">
        <f t="shared" si="0"/>
        <v>24980.1</v>
      </c>
      <c r="H16" s="622">
        <v>0.67</v>
      </c>
      <c r="I16" s="592">
        <f t="shared" si="1"/>
        <v>12452.080248</v>
      </c>
      <c r="J16" s="493">
        <f t="shared" si="2"/>
        <v>82.183729636799995</v>
      </c>
      <c r="K16" s="493">
        <f t="shared" si="3"/>
        <v>3362.0616669600004</v>
      </c>
      <c r="L16" s="592">
        <f t="shared" si="4"/>
        <v>9007.8348514032004</v>
      </c>
    </row>
    <row r="17" spans="1:24" s="233" customFormat="1" ht="40.5" customHeight="1" x14ac:dyDescent="0.45">
      <c r="A17" s="789"/>
      <c r="B17" s="620" t="s">
        <v>214</v>
      </c>
      <c r="C17" s="234">
        <v>150.00810689085722</v>
      </c>
      <c r="D17" s="493">
        <v>4996.0199999999995</v>
      </c>
      <c r="E17" s="492">
        <v>600</v>
      </c>
      <c r="F17" s="493">
        <v>19984.079999999998</v>
      </c>
      <c r="G17" s="492">
        <f t="shared" si="0"/>
        <v>24980.1</v>
      </c>
      <c r="H17" s="622">
        <v>0.35</v>
      </c>
      <c r="I17" s="592">
        <f t="shared" si="1"/>
        <v>6504.8180400000001</v>
      </c>
      <c r="J17" s="493">
        <f t="shared" si="2"/>
        <v>42.931799064000003</v>
      </c>
      <c r="K17" s="493">
        <f t="shared" si="3"/>
        <v>1756.3008708000002</v>
      </c>
      <c r="L17" s="592">
        <f t="shared" si="4"/>
        <v>4705.5853701359993</v>
      </c>
    </row>
    <row r="18" spans="1:24" s="233" customFormat="1" ht="40.5" customHeight="1" x14ac:dyDescent="0.45">
      <c r="A18" s="789"/>
      <c r="B18" s="620" t="s">
        <v>213</v>
      </c>
      <c r="C18" s="234">
        <v>150.00810689085722</v>
      </c>
      <c r="D18" s="493">
        <v>4996.0199999999995</v>
      </c>
      <c r="E18" s="492">
        <v>600</v>
      </c>
      <c r="F18" s="493">
        <v>19984.079999999998</v>
      </c>
      <c r="G18" s="492">
        <f t="shared" si="0"/>
        <v>24980.1</v>
      </c>
      <c r="H18" s="622">
        <v>0.25</v>
      </c>
      <c r="I18" s="592">
        <f t="shared" si="1"/>
        <v>4646.2986000000001</v>
      </c>
      <c r="J18" s="493">
        <f t="shared" si="2"/>
        <v>30.665570760000001</v>
      </c>
      <c r="K18" s="493">
        <f t="shared" si="3"/>
        <v>1254.500622</v>
      </c>
      <c r="L18" s="592">
        <f t="shared" si="4"/>
        <v>3361.1324072399998</v>
      </c>
    </row>
    <row r="19" spans="1:24" s="233" customFormat="1" ht="40.5" customHeight="1" x14ac:dyDescent="0.45">
      <c r="A19" s="789"/>
      <c r="B19" s="620" t="s">
        <v>32</v>
      </c>
      <c r="C19" s="234">
        <v>150.00810689085722</v>
      </c>
      <c r="D19" s="493">
        <v>4996.0199999999995</v>
      </c>
      <c r="E19" s="492">
        <v>450</v>
      </c>
      <c r="F19" s="493">
        <v>14988.06</v>
      </c>
      <c r="G19" s="492">
        <f t="shared" si="0"/>
        <v>19984.079999999998</v>
      </c>
      <c r="H19" s="622">
        <v>0.63</v>
      </c>
      <c r="I19" s="592">
        <f t="shared" si="1"/>
        <v>8781.5043540000006</v>
      </c>
      <c r="J19" s="493">
        <f t="shared" si="2"/>
        <v>57.957928736400007</v>
      </c>
      <c r="K19" s="493">
        <f t="shared" si="3"/>
        <v>2371.0061755800002</v>
      </c>
      <c r="L19" s="592">
        <f t="shared" si="4"/>
        <v>6352.5402496836014</v>
      </c>
    </row>
    <row r="20" spans="1:24" s="233" customFormat="1" ht="40.5" customHeight="1" x14ac:dyDescent="0.45">
      <c r="A20" s="789"/>
      <c r="B20" s="620" t="s">
        <v>237</v>
      </c>
      <c r="C20" s="234">
        <v>150.00810689085722</v>
      </c>
      <c r="D20" s="493">
        <v>4996.0199999999995</v>
      </c>
      <c r="E20" s="492">
        <v>450</v>
      </c>
      <c r="F20" s="493">
        <v>14988.06</v>
      </c>
      <c r="G20" s="492">
        <f t="shared" si="0"/>
        <v>19984.079999999998</v>
      </c>
      <c r="H20" s="622">
        <v>0.5</v>
      </c>
      <c r="I20" s="592">
        <f t="shared" si="1"/>
        <v>6969.4479000000001</v>
      </c>
      <c r="J20" s="493">
        <f t="shared" si="2"/>
        <v>45.998356139999999</v>
      </c>
      <c r="K20" s="493">
        <f t="shared" si="3"/>
        <v>1881.7509330000003</v>
      </c>
      <c r="L20" s="592">
        <f t="shared" si="4"/>
        <v>5041.6986108599995</v>
      </c>
    </row>
    <row r="21" spans="1:24" s="233" customFormat="1" ht="40.5" customHeight="1" x14ac:dyDescent="0.45">
      <c r="A21" s="789"/>
      <c r="B21" s="620" t="s">
        <v>238</v>
      </c>
      <c r="C21" s="234">
        <v>150.00810689085722</v>
      </c>
      <c r="D21" s="493">
        <v>4996.0199999999995</v>
      </c>
      <c r="E21" s="492">
        <v>300</v>
      </c>
      <c r="F21" s="493">
        <v>9992.0399999999991</v>
      </c>
      <c r="G21" s="492">
        <f t="shared" si="0"/>
        <v>14988.059999999998</v>
      </c>
      <c r="H21" s="622">
        <v>0.59</v>
      </c>
      <c r="I21" s="592">
        <f t="shared" si="1"/>
        <v>5482.6323480000001</v>
      </c>
      <c r="J21" s="493">
        <f t="shared" si="2"/>
        <v>36.185373496799997</v>
      </c>
      <c r="K21" s="493">
        <f t="shared" si="3"/>
        <v>1480.3107339600001</v>
      </c>
      <c r="L21" s="592">
        <f t="shared" si="4"/>
        <v>3966.1362405432001</v>
      </c>
    </row>
    <row r="22" spans="1:24" s="233" customFormat="1" ht="40.5" customHeight="1" x14ac:dyDescent="0.45">
      <c r="A22" s="789"/>
      <c r="B22" s="620" t="s">
        <v>240</v>
      </c>
      <c r="C22" s="234">
        <v>150.00810689085722</v>
      </c>
      <c r="D22" s="493">
        <v>4996.0199999999995</v>
      </c>
      <c r="E22" s="492">
        <v>300</v>
      </c>
      <c r="F22" s="493">
        <v>9992.0399999999991</v>
      </c>
      <c r="G22" s="492">
        <f t="shared" si="0"/>
        <v>14988.059999999998</v>
      </c>
      <c r="H22" s="622">
        <v>0.55000000000000004</v>
      </c>
      <c r="I22" s="592">
        <f t="shared" si="1"/>
        <v>5110.9284600000001</v>
      </c>
      <c r="J22" s="493">
        <f t="shared" si="2"/>
        <v>33.732127836000004</v>
      </c>
      <c r="K22" s="493">
        <f t="shared" si="3"/>
        <v>1379.9506842000001</v>
      </c>
      <c r="L22" s="592">
        <f t="shared" si="4"/>
        <v>3697.2456479640005</v>
      </c>
    </row>
    <row r="23" spans="1:24" s="233" customFormat="1" ht="40.5" customHeight="1" x14ac:dyDescent="0.45">
      <c r="A23" s="789"/>
      <c r="B23" s="620" t="s">
        <v>239</v>
      </c>
      <c r="C23" s="234">
        <v>150.00810689085722</v>
      </c>
      <c r="D23" s="493">
        <v>4996.0199999999995</v>
      </c>
      <c r="E23" s="492">
        <v>300</v>
      </c>
      <c r="F23" s="493">
        <v>9992.0399999999991</v>
      </c>
      <c r="G23" s="492">
        <f t="shared" si="0"/>
        <v>14988.059999999998</v>
      </c>
      <c r="H23" s="622">
        <v>0.51</v>
      </c>
      <c r="I23" s="592">
        <f t="shared" si="1"/>
        <v>4739.2245720000001</v>
      </c>
      <c r="J23" s="493">
        <f t="shared" si="2"/>
        <v>31.2788821752</v>
      </c>
      <c r="K23" s="493">
        <f t="shared" si="3"/>
        <v>1279.59063444</v>
      </c>
      <c r="L23" s="592">
        <f t="shared" si="4"/>
        <v>3428.3550553847999</v>
      </c>
    </row>
    <row r="24" spans="1:24" s="233" customFormat="1" ht="40.5" customHeight="1" x14ac:dyDescent="0.45">
      <c r="A24" s="789"/>
      <c r="B24" s="620" t="s">
        <v>216</v>
      </c>
      <c r="C24" s="234">
        <v>150.00810689085722</v>
      </c>
      <c r="D24" s="493">
        <v>4996.0199999999995</v>
      </c>
      <c r="E24" s="492">
        <v>300</v>
      </c>
      <c r="F24" s="493">
        <v>9992.0399999999991</v>
      </c>
      <c r="G24" s="492">
        <f t="shared" si="0"/>
        <v>14988.059999999998</v>
      </c>
      <c r="H24" s="622">
        <v>0.18</v>
      </c>
      <c r="I24" s="592">
        <f t="shared" si="1"/>
        <v>1672.667496</v>
      </c>
      <c r="J24" s="493">
        <f t="shared" si="2"/>
        <v>11.0396054736</v>
      </c>
      <c r="K24" s="493">
        <f t="shared" si="3"/>
        <v>451.62022392000006</v>
      </c>
      <c r="L24" s="592">
        <f t="shared" si="4"/>
        <v>1210.0076666064001</v>
      </c>
    </row>
    <row r="25" spans="1:24" s="380" customFormat="1" ht="40.5" customHeight="1" x14ac:dyDescent="0.45">
      <c r="A25" s="790" t="s">
        <v>172</v>
      </c>
      <c r="B25" s="618" t="s">
        <v>282</v>
      </c>
      <c r="C25" s="234">
        <v>100.00540459390481</v>
      </c>
      <c r="D25" s="493">
        <v>3330.68</v>
      </c>
      <c r="E25" s="492">
        <v>125</v>
      </c>
      <c r="F25" s="493">
        <v>4163.3499999999995</v>
      </c>
      <c r="G25" s="492">
        <f t="shared" si="0"/>
        <v>7494.0299999999988</v>
      </c>
      <c r="H25" s="622">
        <v>0.93</v>
      </c>
      <c r="I25" s="592">
        <f t="shared" si="1"/>
        <v>3600.8814149999998</v>
      </c>
      <c r="J25" s="493">
        <f t="shared" si="2"/>
        <v>23.765817338999998</v>
      </c>
      <c r="K25" s="493">
        <f t="shared" si="3"/>
        <v>972.23798205000003</v>
      </c>
      <c r="L25" s="592">
        <f t="shared" si="4"/>
        <v>2604.8776156109998</v>
      </c>
      <c r="M25" s="233"/>
      <c r="N25" s="233"/>
      <c r="O25" s="233"/>
      <c r="P25" s="233"/>
      <c r="Q25" s="233"/>
      <c r="R25" s="233"/>
    </row>
    <row r="26" spans="1:24" s="380" customFormat="1" ht="40.5" customHeight="1" x14ac:dyDescent="0.45">
      <c r="A26" s="791"/>
      <c r="B26" s="618" t="s">
        <v>281</v>
      </c>
      <c r="C26" s="234">
        <v>100.00540459390481</v>
      </c>
      <c r="D26" s="493">
        <v>3330.68</v>
      </c>
      <c r="E26" s="492">
        <v>125</v>
      </c>
      <c r="F26" s="493">
        <v>4163.3499999999995</v>
      </c>
      <c r="G26" s="492">
        <f t="shared" si="0"/>
        <v>7494.0299999999988</v>
      </c>
      <c r="H26" s="622">
        <v>0.75</v>
      </c>
      <c r="I26" s="592">
        <f t="shared" si="1"/>
        <v>2903.9366249999998</v>
      </c>
      <c r="J26" s="493">
        <f t="shared" si="2"/>
        <v>19.165981724999998</v>
      </c>
      <c r="K26" s="493">
        <f t="shared" si="3"/>
        <v>784.06288874999996</v>
      </c>
      <c r="L26" s="592">
        <f t="shared" si="4"/>
        <v>2100.7077545249995</v>
      </c>
      <c r="M26" s="233"/>
      <c r="N26" s="233"/>
      <c r="O26" s="233"/>
      <c r="P26" s="233"/>
      <c r="Q26" s="233"/>
      <c r="R26" s="233"/>
    </row>
    <row r="27" spans="1:24" s="233" customFormat="1" ht="40.5" customHeight="1" x14ac:dyDescent="0.45">
      <c r="A27" s="791"/>
      <c r="B27" s="620" t="s">
        <v>292</v>
      </c>
      <c r="C27" s="234">
        <v>100.00540459390481</v>
      </c>
      <c r="D27" s="493">
        <v>3330.68</v>
      </c>
      <c r="E27" s="492">
        <v>125</v>
      </c>
      <c r="F27" s="493">
        <v>4163.3499999999995</v>
      </c>
      <c r="G27" s="492">
        <f t="shared" si="0"/>
        <v>7494.0299999999988</v>
      </c>
      <c r="H27" s="622">
        <v>0.52</v>
      </c>
      <c r="I27" s="592">
        <f t="shared" si="1"/>
        <v>2013.3960599999998</v>
      </c>
      <c r="J27" s="493">
        <f t="shared" si="2"/>
        <v>13.288413995999999</v>
      </c>
      <c r="K27" s="493">
        <f t="shared" si="3"/>
        <v>543.61693619999994</v>
      </c>
      <c r="L27" s="592">
        <f t="shared" si="4"/>
        <v>1456.4907098039998</v>
      </c>
      <c r="S27"/>
      <c r="T27"/>
      <c r="U27"/>
      <c r="V27"/>
      <c r="W27"/>
    </row>
    <row r="28" spans="1:24" s="233" customFormat="1" ht="40.5" customHeight="1" x14ac:dyDescent="0.45">
      <c r="A28" s="792"/>
      <c r="B28" s="620" t="s">
        <v>198</v>
      </c>
      <c r="C28" s="234">
        <v>100.00540459390481</v>
      </c>
      <c r="D28" s="493">
        <v>3330.68</v>
      </c>
      <c r="E28" s="492">
        <v>125</v>
      </c>
      <c r="F28" s="493">
        <v>4163.3499999999995</v>
      </c>
      <c r="G28" s="492">
        <f t="shared" si="0"/>
        <v>7494.0299999999988</v>
      </c>
      <c r="H28" s="622">
        <v>0.18</v>
      </c>
      <c r="I28" s="592">
        <f t="shared" si="1"/>
        <v>696.9447899999999</v>
      </c>
      <c r="J28" s="493">
        <f t="shared" si="2"/>
        <v>4.599835613999999</v>
      </c>
      <c r="K28" s="493">
        <f t="shared" si="3"/>
        <v>188.17509329999999</v>
      </c>
      <c r="L28" s="592">
        <f t="shared" si="4"/>
        <v>504.16986108599997</v>
      </c>
      <c r="M28"/>
      <c r="N28"/>
      <c r="O28"/>
      <c r="P28"/>
      <c r="Q28"/>
      <c r="R28"/>
      <c r="S28"/>
      <c r="T28"/>
      <c r="U28"/>
      <c r="V28"/>
      <c r="W28"/>
    </row>
    <row r="29" spans="1:24" s="233" customFormat="1" ht="40.5" customHeight="1" thickBot="1" x14ac:dyDescent="0.5">
      <c r="A29" s="784" t="s">
        <v>171</v>
      </c>
      <c r="B29" s="785"/>
      <c r="C29" s="340">
        <v>50.002702296952407</v>
      </c>
      <c r="D29" s="581">
        <v>1665.34</v>
      </c>
      <c r="E29" s="492">
        <v>50</v>
      </c>
      <c r="F29" s="493">
        <v>1665.34</v>
      </c>
      <c r="G29" s="492">
        <f t="shared" si="0"/>
        <v>3330.68</v>
      </c>
      <c r="H29" s="622">
        <v>0.54</v>
      </c>
      <c r="I29" s="592">
        <f t="shared" si="1"/>
        <v>836.33374800000001</v>
      </c>
      <c r="J29" s="581">
        <f t="shared" si="2"/>
        <v>5.5198027368</v>
      </c>
      <c r="K29" s="581">
        <f t="shared" si="3"/>
        <v>225.81011196000003</v>
      </c>
      <c r="L29" s="594">
        <f t="shared" si="4"/>
        <v>605.00383330320005</v>
      </c>
      <c r="M29"/>
      <c r="N29"/>
      <c r="O29"/>
      <c r="P29"/>
      <c r="Q29"/>
      <c r="R29"/>
      <c r="S29"/>
      <c r="T29"/>
      <c r="U29"/>
      <c r="V29"/>
      <c r="W29"/>
    </row>
    <row r="30" spans="1:24" s="614" customFormat="1" ht="15.75" customHeight="1" x14ac:dyDescent="0.25">
      <c r="A30"/>
      <c r="B30"/>
      <c r="C30"/>
      <c r="D30"/>
      <c r="E30"/>
      <c r="F30"/>
      <c r="G30"/>
      <c r="H30"/>
      <c r="I30"/>
      <c r="J30"/>
    </row>
    <row r="31" spans="1:24" s="345" customFormat="1" ht="81.75" hidden="1" customHeight="1" thickBot="1" x14ac:dyDescent="0.25">
      <c r="A31" t="s">
        <v>302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345" customFormat="1" ht="98.25" hidden="1" customHeight="1" thickBot="1" x14ac:dyDescent="0.25">
      <c r="A32" t="s">
        <v>2</v>
      </c>
      <c r="B32"/>
      <c r="C32"/>
      <c r="D32"/>
      <c r="E32" t="s">
        <v>297</v>
      </c>
      <c r="F32" t="s">
        <v>253</v>
      </c>
      <c r="G32"/>
      <c r="H32" t="s">
        <v>298</v>
      </c>
      <c r="I32" t="s">
        <v>293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9" ht="40.5" hidden="1" customHeight="1" x14ac:dyDescent="0.25">
      <c r="A33" t="s">
        <v>28</v>
      </c>
      <c r="B33" t="s">
        <v>215</v>
      </c>
      <c r="C33"/>
      <c r="D33"/>
      <c r="E33">
        <v>600</v>
      </c>
      <c r="F33">
        <v>19984.079999999998</v>
      </c>
      <c r="H33">
        <v>0.66</v>
      </c>
      <c r="I33">
        <v>11792.208422135467</v>
      </c>
    </row>
    <row r="34" spans="1:9" ht="40.5" hidden="1" customHeight="1" x14ac:dyDescent="0.25">
      <c r="A34"/>
      <c r="B34" t="s">
        <v>214</v>
      </c>
      <c r="C34"/>
      <c r="D34"/>
      <c r="E34">
        <v>600</v>
      </c>
      <c r="F34">
        <v>19984.079999999998</v>
      </c>
      <c r="H34">
        <v>0.34</v>
      </c>
      <c r="I34">
        <v>7924.5950948778691</v>
      </c>
    </row>
    <row r="35" spans="1:9" ht="40.5" hidden="1" customHeight="1" x14ac:dyDescent="0.25">
      <c r="A35"/>
      <c r="B35" t="s">
        <v>220</v>
      </c>
      <c r="C35"/>
      <c r="D35"/>
      <c r="E35">
        <v>600</v>
      </c>
      <c r="F35">
        <v>19984.079999999998</v>
      </c>
      <c r="H35">
        <v>0.25</v>
      </c>
      <c r="I35">
        <v>6836.8288465866681</v>
      </c>
    </row>
    <row r="36" spans="1:9" ht="40.5" hidden="1" customHeight="1" x14ac:dyDescent="0.25">
      <c r="A36"/>
      <c r="B36" t="s">
        <v>32</v>
      </c>
      <c r="C36"/>
      <c r="D36"/>
      <c r="E36">
        <v>450</v>
      </c>
      <c r="F36">
        <v>14988.06</v>
      </c>
      <c r="H36">
        <v>0.63</v>
      </c>
      <c r="I36">
        <v>9526.028738195464</v>
      </c>
    </row>
    <row r="37" spans="1:9" ht="40.5" hidden="1" customHeight="1" x14ac:dyDescent="0.25">
      <c r="A37"/>
      <c r="B37" t="s">
        <v>237</v>
      </c>
      <c r="C37"/>
      <c r="D37"/>
      <c r="E37">
        <v>450</v>
      </c>
      <c r="F37">
        <v>14988.06</v>
      </c>
      <c r="H37">
        <v>0.49</v>
      </c>
      <c r="I37">
        <v>8256.9681151890672</v>
      </c>
    </row>
    <row r="38" spans="1:9" ht="40.5" hidden="1" customHeight="1" x14ac:dyDescent="0.25">
      <c r="A38"/>
      <c r="B38" t="s">
        <v>234</v>
      </c>
      <c r="C38"/>
      <c r="D38"/>
      <c r="E38">
        <v>300</v>
      </c>
      <c r="F38">
        <v>9992.0399999999991</v>
      </c>
      <c r="H38">
        <v>0.57999999999999996</v>
      </c>
      <c r="I38">
        <v>7320.280512493865</v>
      </c>
    </row>
    <row r="39" spans="1:9" ht="40.5" hidden="1" customHeight="1" x14ac:dyDescent="0.25">
      <c r="A39"/>
      <c r="B39" t="s">
        <v>242</v>
      </c>
      <c r="C39"/>
      <c r="D39"/>
      <c r="E39">
        <v>300</v>
      </c>
      <c r="F39">
        <v>9992.0399999999991</v>
      </c>
      <c r="H39">
        <v>0.55000000000000004</v>
      </c>
      <c r="I39">
        <v>7138.9861377786683</v>
      </c>
    </row>
    <row r="40" spans="1:9" ht="40.5" hidden="1" customHeight="1" x14ac:dyDescent="0.25">
      <c r="A40"/>
      <c r="B40" t="s">
        <v>235</v>
      </c>
      <c r="C40"/>
      <c r="D40"/>
      <c r="E40">
        <v>300</v>
      </c>
      <c r="F40">
        <v>9992.0399999999991</v>
      </c>
      <c r="H40">
        <v>0.5</v>
      </c>
      <c r="I40">
        <v>6836.8288465866681</v>
      </c>
    </row>
    <row r="41" spans="1:9" ht="40.5" hidden="1" customHeight="1" x14ac:dyDescent="0.25">
      <c r="A41"/>
      <c r="B41" t="s">
        <v>224</v>
      </c>
      <c r="C41"/>
      <c r="D41"/>
      <c r="E41">
        <v>300</v>
      </c>
      <c r="F41">
        <v>9992.0399999999991</v>
      </c>
      <c r="H41">
        <v>0.19</v>
      </c>
      <c r="I41">
        <v>4890.514842049598</v>
      </c>
    </row>
    <row r="42" spans="1:9" ht="40.5" hidden="1" customHeight="1" x14ac:dyDescent="0.25">
      <c r="A42" t="s">
        <v>29</v>
      </c>
      <c r="B42" t="s">
        <v>221</v>
      </c>
      <c r="C42"/>
      <c r="D42"/>
      <c r="E42">
        <v>600</v>
      </c>
      <c r="F42">
        <v>19984.079999999998</v>
      </c>
      <c r="H42">
        <v>0.64</v>
      </c>
      <c r="I42">
        <v>11550.482589181869</v>
      </c>
    </row>
    <row r="43" spans="1:9" ht="46.5" hidden="1" customHeight="1" x14ac:dyDescent="0.25">
      <c r="A43"/>
      <c r="B43" t="s">
        <v>222</v>
      </c>
      <c r="C43"/>
      <c r="D43"/>
      <c r="E43">
        <v>600</v>
      </c>
      <c r="F43">
        <v>19984.079999999998</v>
      </c>
      <c r="H43">
        <v>0.33</v>
      </c>
      <c r="I43">
        <v>7803.7321784010674</v>
      </c>
    </row>
    <row r="44" spans="1:9" ht="40.5" hidden="1" customHeight="1" x14ac:dyDescent="0.25">
      <c r="A44"/>
      <c r="B44" t="s">
        <v>32</v>
      </c>
      <c r="C44"/>
      <c r="D44"/>
      <c r="E44">
        <v>450</v>
      </c>
      <c r="F44">
        <v>14988.06</v>
      </c>
      <c r="H44">
        <v>0.56999999999999995</v>
      </c>
      <c r="I44">
        <v>8982.1456140498685</v>
      </c>
    </row>
    <row r="45" spans="1:9" ht="40.5" hidden="1" customHeight="1" x14ac:dyDescent="0.25">
      <c r="A45"/>
      <c r="B45" t="s">
        <v>237</v>
      </c>
      <c r="C45"/>
      <c r="D45"/>
      <c r="E45">
        <v>450</v>
      </c>
      <c r="F45">
        <v>14988.06</v>
      </c>
      <c r="H45">
        <v>0.46</v>
      </c>
      <c r="I45">
        <v>7985.0265531162659</v>
      </c>
    </row>
    <row r="46" spans="1:9" ht="40.5" hidden="1" customHeight="1" x14ac:dyDescent="0.25">
      <c r="A46"/>
      <c r="B46" t="s">
        <v>225</v>
      </c>
      <c r="C46"/>
      <c r="D46"/>
      <c r="E46">
        <v>450</v>
      </c>
      <c r="F46">
        <v>14988.06</v>
      </c>
      <c r="H46">
        <v>0.35</v>
      </c>
      <c r="I46">
        <v>6987.907492182665</v>
      </c>
    </row>
    <row r="47" spans="1:9" ht="40.5" hidden="1" customHeight="1" x14ac:dyDescent="0.25">
      <c r="A47"/>
      <c r="B47" t="s">
        <v>243</v>
      </c>
      <c r="C47"/>
      <c r="D47"/>
      <c r="E47">
        <v>450</v>
      </c>
      <c r="F47">
        <v>14988.06</v>
      </c>
      <c r="H47">
        <v>0.32</v>
      </c>
      <c r="I47">
        <v>6715.9659301098663</v>
      </c>
    </row>
    <row r="48" spans="1:9" ht="40.5" hidden="1" customHeight="1" x14ac:dyDescent="0.25">
      <c r="A48"/>
      <c r="B48" t="s">
        <v>226</v>
      </c>
      <c r="C48"/>
      <c r="D48"/>
      <c r="E48">
        <v>200</v>
      </c>
      <c r="F48">
        <v>6661.36</v>
      </c>
      <c r="H48">
        <v>0.74</v>
      </c>
      <c r="I48">
        <v>6796.5412077610645</v>
      </c>
    </row>
    <row r="49" spans="1:10" ht="40.5" hidden="1" customHeight="1" x14ac:dyDescent="0.25">
      <c r="A49"/>
      <c r="B49" t="s">
        <v>227</v>
      </c>
      <c r="C49"/>
      <c r="D49"/>
      <c r="E49">
        <v>200</v>
      </c>
      <c r="F49">
        <v>6661.36</v>
      </c>
      <c r="H49">
        <v>0.55000000000000004</v>
      </c>
      <c r="I49">
        <v>6025.1402412746656</v>
      </c>
    </row>
    <row r="50" spans="1:10" ht="40.5" hidden="1" customHeight="1" x14ac:dyDescent="0.25">
      <c r="A50" t="s">
        <v>31</v>
      </c>
      <c r="B50" t="s">
        <v>32</v>
      </c>
      <c r="C50"/>
      <c r="D50"/>
      <c r="E50">
        <v>270</v>
      </c>
      <c r="F50">
        <v>8992.8359999999993</v>
      </c>
      <c r="H50">
        <v>0.64</v>
      </c>
      <c r="I50">
        <v>7296.107929198507</v>
      </c>
    </row>
    <row r="51" spans="1:10" ht="40.5" hidden="1" customHeight="1" x14ac:dyDescent="0.25">
      <c r="A51"/>
      <c r="B51" t="s">
        <v>225</v>
      </c>
      <c r="C51"/>
      <c r="D51"/>
      <c r="E51">
        <v>270</v>
      </c>
      <c r="F51">
        <v>8992.8359999999993</v>
      </c>
      <c r="H51">
        <v>0.4</v>
      </c>
      <c r="I51">
        <v>5990.7884312490669</v>
      </c>
    </row>
    <row r="52" spans="1:10" ht="40.5" hidden="1" customHeight="1" x14ac:dyDescent="0.25">
      <c r="A52"/>
      <c r="B52" t="s">
        <v>226</v>
      </c>
      <c r="C52"/>
      <c r="D52"/>
      <c r="E52">
        <v>180</v>
      </c>
      <c r="F52">
        <v>5995.2240000000002</v>
      </c>
      <c r="H52">
        <v>0.63</v>
      </c>
      <c r="I52">
        <v>6099.565056078186</v>
      </c>
    </row>
    <row r="53" spans="1:10" ht="40.5" hidden="1" customHeight="1" x14ac:dyDescent="0.25">
      <c r="A53"/>
      <c r="B53" t="s">
        <v>227</v>
      </c>
      <c r="C53"/>
      <c r="D53"/>
      <c r="E53">
        <v>180</v>
      </c>
      <c r="F53">
        <v>5995.2240000000002</v>
      </c>
      <c r="H53">
        <v>0.44</v>
      </c>
      <c r="I53">
        <v>5393.3113372057587</v>
      </c>
    </row>
    <row r="54" spans="1:10" ht="40.5" hidden="1" customHeight="1" x14ac:dyDescent="0.25">
      <c r="A54"/>
      <c r="B54" t="s">
        <v>228</v>
      </c>
      <c r="C54"/>
      <c r="D54"/>
      <c r="E54">
        <v>180</v>
      </c>
      <c r="F54">
        <v>5995.2240000000002</v>
      </c>
      <c r="H54">
        <v>0.1</v>
      </c>
      <c r="I54">
        <v>4007.2237019103995</v>
      </c>
    </row>
    <row r="55" spans="1:10" s="564" customFormat="1" ht="49.5" hidden="1" customHeight="1" x14ac:dyDescent="0.25">
      <c r="A55"/>
      <c r="B55" t="s">
        <v>199</v>
      </c>
      <c r="C55"/>
      <c r="D55"/>
      <c r="E55">
        <v>125</v>
      </c>
      <c r="F55">
        <v>4163</v>
      </c>
      <c r="G55"/>
      <c r="H55">
        <v>0.5</v>
      </c>
      <c r="I55">
        <v>3869.6170740000002</v>
      </c>
      <c r="J55"/>
    </row>
    <row r="56" spans="1:10" ht="40.5" hidden="1" customHeight="1" x14ac:dyDescent="0.25">
      <c r="A56" t="s">
        <v>173</v>
      </c>
      <c r="B56"/>
      <c r="C56"/>
      <c r="D56"/>
      <c r="E56">
        <v>125</v>
      </c>
      <c r="F56">
        <v>4163.3499999999995</v>
      </c>
      <c r="H56">
        <v>0.41</v>
      </c>
      <c r="I56">
        <v>3555.5790641059998</v>
      </c>
    </row>
    <row r="57" spans="1:10" ht="40.5" hidden="1" customHeight="1" thickBot="1" x14ac:dyDescent="0.25">
      <c r="A57" t="s">
        <v>174</v>
      </c>
      <c r="B57"/>
      <c r="C57"/>
      <c r="D57"/>
      <c r="E57">
        <v>75</v>
      </c>
      <c r="F57">
        <v>2498</v>
      </c>
      <c r="H57">
        <v>0.63</v>
      </c>
      <c r="I57">
        <v>2921.7573390399998</v>
      </c>
    </row>
    <row r="58" spans="1:10" ht="21" hidden="1" customHeight="1" x14ac:dyDescent="0.25">
      <c r="A58"/>
      <c r="B58"/>
      <c r="C58"/>
      <c r="D58"/>
      <c r="H58"/>
    </row>
    <row r="59" spans="1:10" ht="15.75" thickBot="1" x14ac:dyDescent="0.3">
      <c r="A59"/>
      <c r="B59"/>
      <c r="C59"/>
      <c r="D59"/>
      <c r="H59"/>
    </row>
    <row r="60" spans="1:10" ht="30.75" customHeight="1" thickBot="1" x14ac:dyDescent="0.3">
      <c r="A60"/>
      <c r="B60" s="648" t="s">
        <v>317</v>
      </c>
      <c r="C60"/>
      <c r="D60"/>
      <c r="H60"/>
    </row>
    <row r="61" spans="1:10" ht="30.75" customHeight="1" x14ac:dyDescent="0.25">
      <c r="A61"/>
      <c r="B61" s="646" t="s">
        <v>318</v>
      </c>
      <c r="C61"/>
      <c r="D61"/>
      <c r="H61"/>
    </row>
    <row r="62" spans="1:10" ht="37.5" customHeight="1" x14ac:dyDescent="0.25">
      <c r="A62"/>
      <c r="B62" s="646" t="s">
        <v>319</v>
      </c>
      <c r="C62"/>
      <c r="D62"/>
      <c r="H62"/>
    </row>
    <row r="63" spans="1:10" ht="36.75" customHeight="1" thickBot="1" x14ac:dyDescent="0.3">
      <c r="A63"/>
      <c r="B63" s="647" t="s">
        <v>316</v>
      </c>
      <c r="C63"/>
      <c r="D63"/>
      <c r="H63"/>
    </row>
  </sheetData>
  <mergeCells count="7">
    <mergeCell ref="A29:B29"/>
    <mergeCell ref="A1:G1"/>
    <mergeCell ref="A5:B5"/>
    <mergeCell ref="A7:A15"/>
    <mergeCell ref="A16:A24"/>
    <mergeCell ref="A25:A28"/>
    <mergeCell ref="A4:L4"/>
  </mergeCells>
  <pageMargins left="1.1023622047244095" right="0.70866141732283472" top="0.74803149606299213" bottom="0.74803149606299213" header="0.31496062992125984" footer="0.31496062992125984"/>
  <pageSetup paperSize="9" scale="3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63"/>
  <sheetViews>
    <sheetView tabSelected="1" topLeftCell="A30" zoomScale="60" zoomScaleNormal="60" workbookViewId="0">
      <selection activeCell="A31" sqref="A31:L31"/>
    </sheetView>
  </sheetViews>
  <sheetFormatPr defaultRowHeight="28.5" x14ac:dyDescent="0.45"/>
  <cols>
    <col min="1" max="1" width="37" style="202" customWidth="1"/>
    <col min="2" max="2" width="98.5703125" style="130" customWidth="1"/>
    <col min="3" max="3" width="27.5703125" customWidth="1"/>
    <col min="4" max="4" width="27.5703125" hidden="1" customWidth="1"/>
    <col min="5" max="5" width="27.5703125" customWidth="1"/>
    <col min="6" max="6" width="27.5703125" hidden="1" customWidth="1"/>
    <col min="7" max="7" width="25.85546875" style="577" customWidth="1"/>
    <col min="8" max="8" width="33.7109375" style="577" customWidth="1"/>
    <col min="9" max="9" width="11.42578125" style="577" hidden="1" customWidth="1"/>
    <col min="10" max="10" width="26.7109375" style="577" customWidth="1"/>
    <col min="11" max="11" width="21.140625" style="577" customWidth="1"/>
    <col min="12" max="12" width="27.28515625" style="233" customWidth="1"/>
    <col min="13" max="13" width="24.140625" customWidth="1"/>
    <col min="14" max="14" width="29.7109375" customWidth="1"/>
  </cols>
  <sheetData>
    <row r="1" spans="1:99" ht="46.5" hidden="1" x14ac:dyDescent="0.45">
      <c r="A1" s="660" t="s">
        <v>196</v>
      </c>
      <c r="B1" s="660"/>
      <c r="C1" s="660"/>
      <c r="D1" s="660"/>
      <c r="E1" s="660"/>
      <c r="F1" s="660"/>
    </row>
    <row r="2" spans="1:99" hidden="1" x14ac:dyDescent="0.45">
      <c r="A2" s="192"/>
      <c r="B2" s="2"/>
      <c r="C2" s="2"/>
      <c r="D2" s="2"/>
      <c r="E2" s="2"/>
      <c r="F2" s="2"/>
    </row>
    <row r="3" spans="1:99" hidden="1" x14ac:dyDescent="0.45">
      <c r="A3" s="236" t="s">
        <v>1</v>
      </c>
      <c r="B3" s="4"/>
      <c r="C3" s="4"/>
      <c r="D3" s="4"/>
      <c r="E3" s="4"/>
      <c r="F3" s="4"/>
    </row>
    <row r="4" spans="1:99" ht="47.25" hidden="1" thickBot="1" x14ac:dyDescent="0.5">
      <c r="A4" s="775" t="s">
        <v>299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M4" s="233"/>
    </row>
    <row r="5" spans="1:99" ht="95.25" hidden="1" thickBot="1" x14ac:dyDescent="0.5">
      <c r="A5" s="757" t="s">
        <v>2</v>
      </c>
      <c r="B5" s="758"/>
      <c r="C5" s="595" t="s">
        <v>297</v>
      </c>
      <c r="D5" s="607" t="s">
        <v>229</v>
      </c>
      <c r="E5" s="607" t="s">
        <v>253</v>
      </c>
      <c r="F5" s="607" t="s">
        <v>231</v>
      </c>
      <c r="G5" s="607" t="s">
        <v>298</v>
      </c>
      <c r="H5" s="616"/>
      <c r="I5" s="616"/>
      <c r="J5" s="616"/>
      <c r="K5" s="616"/>
    </row>
    <row r="6" spans="1:99" s="233" customFormat="1" hidden="1" x14ac:dyDescent="0.45">
      <c r="A6" s="608"/>
      <c r="B6" s="525"/>
      <c r="C6" s="526"/>
      <c r="D6" s="526"/>
      <c r="E6" s="526"/>
      <c r="F6" s="526"/>
      <c r="G6" s="526"/>
      <c r="H6" s="526"/>
      <c r="I6" s="526"/>
      <c r="J6" s="526"/>
      <c r="K6" s="52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</row>
    <row r="7" spans="1:99" s="233" customFormat="1" ht="31.5" hidden="1" x14ac:dyDescent="0.45">
      <c r="A7" s="766" t="s">
        <v>11</v>
      </c>
      <c r="B7" s="227" t="s">
        <v>212</v>
      </c>
      <c r="C7" s="492">
        <v>550</v>
      </c>
      <c r="D7" s="493">
        <v>6661</v>
      </c>
      <c r="E7" s="493">
        <v>18318.739999999998</v>
      </c>
      <c r="F7" s="578">
        <v>24979.739999999998</v>
      </c>
      <c r="G7" s="583">
        <v>0.7</v>
      </c>
      <c r="H7" s="583"/>
      <c r="I7" s="583"/>
      <c r="J7" s="583"/>
      <c r="K7" s="583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</row>
    <row r="8" spans="1:99" s="233" customFormat="1" ht="31.5" hidden="1" x14ac:dyDescent="0.45">
      <c r="A8" s="767"/>
      <c r="B8" s="227" t="s">
        <v>211</v>
      </c>
      <c r="C8" s="492">
        <v>550</v>
      </c>
      <c r="D8" s="493">
        <v>6661</v>
      </c>
      <c r="E8" s="493">
        <v>18318.739999999998</v>
      </c>
      <c r="F8" s="578">
        <v>24979.739999999998</v>
      </c>
      <c r="G8" s="583">
        <v>0.33</v>
      </c>
      <c r="H8" s="583"/>
      <c r="I8" s="583"/>
      <c r="J8" s="583"/>
      <c r="K8" s="583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</row>
    <row r="9" spans="1:99" s="233" customFormat="1" ht="31.5" hidden="1" x14ac:dyDescent="0.45">
      <c r="A9" s="767"/>
      <c r="B9" s="227" t="s">
        <v>213</v>
      </c>
      <c r="C9" s="492">
        <v>550</v>
      </c>
      <c r="D9" s="493">
        <v>6661</v>
      </c>
      <c r="E9" s="493">
        <v>18318.739999999998</v>
      </c>
      <c r="F9" s="578">
        <v>24979.739999999998</v>
      </c>
      <c r="G9" s="583">
        <v>0.2</v>
      </c>
      <c r="H9" s="583"/>
      <c r="I9" s="583"/>
      <c r="J9" s="583"/>
      <c r="K9" s="583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</row>
    <row r="10" spans="1:99" s="233" customFormat="1" ht="31.5" hidden="1" x14ac:dyDescent="0.45">
      <c r="A10" s="767"/>
      <c r="B10" s="227" t="s">
        <v>32</v>
      </c>
      <c r="C10" s="492">
        <v>400</v>
      </c>
      <c r="D10" s="493">
        <v>6661</v>
      </c>
      <c r="E10" s="493">
        <v>13322.72</v>
      </c>
      <c r="F10" s="578">
        <v>19983.72</v>
      </c>
      <c r="G10" s="583">
        <v>0.63</v>
      </c>
      <c r="H10" s="583"/>
      <c r="I10" s="583"/>
      <c r="J10" s="583"/>
      <c r="K10" s="58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</row>
    <row r="11" spans="1:99" s="233" customFormat="1" ht="31.5" hidden="1" x14ac:dyDescent="0.45">
      <c r="A11" s="767"/>
      <c r="B11" s="227" t="s">
        <v>233</v>
      </c>
      <c r="C11" s="492">
        <v>400</v>
      </c>
      <c r="D11" s="493">
        <v>6661</v>
      </c>
      <c r="E11" s="493">
        <v>13322.72</v>
      </c>
      <c r="F11" s="578">
        <v>19983.72</v>
      </c>
      <c r="G11" s="583">
        <v>0.5</v>
      </c>
      <c r="H11" s="583"/>
      <c r="I11" s="583"/>
      <c r="J11" s="583"/>
      <c r="K11" s="58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</row>
    <row r="12" spans="1:99" s="233" customFormat="1" ht="31.5" hidden="1" x14ac:dyDescent="0.45">
      <c r="A12" s="767"/>
      <c r="B12" s="227" t="s">
        <v>234</v>
      </c>
      <c r="C12" s="492">
        <v>300</v>
      </c>
      <c r="D12" s="493">
        <v>6661</v>
      </c>
      <c r="E12" s="493">
        <v>9992.0399999999991</v>
      </c>
      <c r="F12" s="578">
        <v>16653.04</v>
      </c>
      <c r="G12" s="583">
        <v>0.42</v>
      </c>
      <c r="H12" s="583"/>
      <c r="I12" s="583"/>
      <c r="J12" s="583"/>
      <c r="K12" s="58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</row>
    <row r="13" spans="1:99" s="380" customFormat="1" ht="31.5" hidden="1" x14ac:dyDescent="0.45">
      <c r="A13" s="767"/>
      <c r="B13" s="227" t="s">
        <v>236</v>
      </c>
      <c r="C13" s="492">
        <v>300</v>
      </c>
      <c r="D13" s="493">
        <v>6661</v>
      </c>
      <c r="E13" s="493">
        <v>9992.0399999999991</v>
      </c>
      <c r="F13" s="578">
        <v>16653.04</v>
      </c>
      <c r="G13" s="583">
        <v>0.39</v>
      </c>
      <c r="H13" s="583"/>
      <c r="I13" s="583"/>
      <c r="J13" s="583"/>
      <c r="K13" s="583"/>
      <c r="L13" s="233"/>
      <c r="M13" s="23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</row>
    <row r="14" spans="1:99" s="233" customFormat="1" ht="31.5" hidden="1" x14ac:dyDescent="0.45">
      <c r="A14" s="767"/>
      <c r="B14" s="227" t="s">
        <v>235</v>
      </c>
      <c r="C14" s="492">
        <v>300</v>
      </c>
      <c r="D14" s="493">
        <v>6661</v>
      </c>
      <c r="E14" s="493">
        <v>9992.0399999999991</v>
      </c>
      <c r="F14" s="578">
        <v>16653.04</v>
      </c>
      <c r="G14" s="583">
        <v>0.32</v>
      </c>
      <c r="H14" s="583"/>
      <c r="I14" s="583"/>
      <c r="J14" s="583"/>
      <c r="K14" s="58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</row>
    <row r="15" spans="1:99" s="233" customFormat="1" ht="31.5" hidden="1" x14ac:dyDescent="0.45">
      <c r="A15" s="768"/>
      <c r="B15" s="227" t="s">
        <v>216</v>
      </c>
      <c r="C15" s="492">
        <v>300</v>
      </c>
      <c r="D15" s="493">
        <v>6661</v>
      </c>
      <c r="E15" s="493">
        <v>9992.0399999999991</v>
      </c>
      <c r="F15" s="578">
        <v>16653.04</v>
      </c>
      <c r="G15" s="583">
        <v>0.22</v>
      </c>
      <c r="H15" s="583"/>
      <c r="I15" s="583"/>
      <c r="J15" s="583"/>
      <c r="K15" s="58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</row>
    <row r="16" spans="1:99" s="233" customFormat="1" ht="31.5" hidden="1" x14ac:dyDescent="0.45">
      <c r="A16" s="769" t="s">
        <v>15</v>
      </c>
      <c r="B16" s="227" t="s">
        <v>215</v>
      </c>
      <c r="C16" s="492">
        <v>600</v>
      </c>
      <c r="D16" s="493">
        <v>4996.0199999999995</v>
      </c>
      <c r="E16" s="493">
        <v>19984.079999999998</v>
      </c>
      <c r="F16" s="578">
        <v>24980.1</v>
      </c>
      <c r="G16" s="583">
        <v>0.67</v>
      </c>
      <c r="H16" s="583"/>
      <c r="I16" s="583"/>
      <c r="J16" s="583"/>
      <c r="K16" s="58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</row>
    <row r="17" spans="1:99" s="233" customFormat="1" ht="40.5" hidden="1" customHeight="1" x14ac:dyDescent="0.45">
      <c r="A17" s="769"/>
      <c r="B17" s="227" t="s">
        <v>214</v>
      </c>
      <c r="C17" s="492">
        <v>600</v>
      </c>
      <c r="D17" s="493">
        <v>4996.0199999999995</v>
      </c>
      <c r="E17" s="493">
        <v>19984.079999999998</v>
      </c>
      <c r="F17" s="578">
        <v>24980.1</v>
      </c>
      <c r="G17" s="583">
        <v>0.35</v>
      </c>
      <c r="H17" s="583"/>
      <c r="I17" s="583"/>
      <c r="J17" s="583"/>
      <c r="K17" s="58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</row>
    <row r="18" spans="1:99" s="233" customFormat="1" ht="40.5" hidden="1" customHeight="1" x14ac:dyDescent="0.45">
      <c r="A18" s="769"/>
      <c r="B18" s="227" t="s">
        <v>213</v>
      </c>
      <c r="C18" s="492">
        <v>600</v>
      </c>
      <c r="D18" s="493">
        <v>4996.0199999999995</v>
      </c>
      <c r="E18" s="493">
        <v>19984.079999999998</v>
      </c>
      <c r="F18" s="578">
        <v>24980.1</v>
      </c>
      <c r="G18" s="583">
        <v>0.25</v>
      </c>
      <c r="H18" s="583"/>
      <c r="I18" s="583"/>
      <c r="J18" s="583"/>
      <c r="K18" s="58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</row>
    <row r="19" spans="1:99" s="233" customFormat="1" ht="40.5" hidden="1" customHeight="1" x14ac:dyDescent="0.45">
      <c r="A19" s="769"/>
      <c r="B19" s="227" t="s">
        <v>32</v>
      </c>
      <c r="C19" s="492">
        <v>450</v>
      </c>
      <c r="D19" s="493">
        <v>4996.0199999999995</v>
      </c>
      <c r="E19" s="493">
        <v>14988.06</v>
      </c>
      <c r="F19" s="578">
        <v>19984.079999999998</v>
      </c>
      <c r="G19" s="583">
        <v>0.63</v>
      </c>
      <c r="H19" s="583"/>
      <c r="I19" s="583"/>
      <c r="J19" s="583"/>
      <c r="K19" s="58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</row>
    <row r="20" spans="1:99" s="233" customFormat="1" ht="40.5" hidden="1" customHeight="1" x14ac:dyDescent="0.45">
      <c r="A20" s="769"/>
      <c r="B20" s="227" t="s">
        <v>237</v>
      </c>
      <c r="C20" s="492">
        <v>450</v>
      </c>
      <c r="D20" s="493">
        <v>4996.0199999999995</v>
      </c>
      <c r="E20" s="493">
        <v>14988.06</v>
      </c>
      <c r="F20" s="578">
        <v>19984.079999999998</v>
      </c>
      <c r="G20" s="583">
        <v>0.5</v>
      </c>
      <c r="H20" s="583"/>
      <c r="I20" s="583"/>
      <c r="J20" s="583"/>
      <c r="K20" s="58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</row>
    <row r="21" spans="1:99" s="233" customFormat="1" ht="40.5" hidden="1" customHeight="1" x14ac:dyDescent="0.45">
      <c r="A21" s="769"/>
      <c r="B21" s="227" t="s">
        <v>238</v>
      </c>
      <c r="C21" s="492">
        <v>300</v>
      </c>
      <c r="D21" s="493">
        <v>4996.0199999999995</v>
      </c>
      <c r="E21" s="493">
        <v>9992.0399999999991</v>
      </c>
      <c r="F21" s="578">
        <v>14988.059999999998</v>
      </c>
      <c r="G21" s="583">
        <v>0.59</v>
      </c>
      <c r="H21" s="583"/>
      <c r="I21" s="583"/>
      <c r="J21" s="583"/>
      <c r="K21" s="58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</row>
    <row r="22" spans="1:99" s="233" customFormat="1" ht="40.5" hidden="1" customHeight="1" x14ac:dyDescent="0.45">
      <c r="A22" s="769"/>
      <c r="B22" s="227" t="s">
        <v>240</v>
      </c>
      <c r="C22" s="492">
        <v>300</v>
      </c>
      <c r="D22" s="493">
        <v>4996.0199999999995</v>
      </c>
      <c r="E22" s="493">
        <v>9992.0399999999991</v>
      </c>
      <c r="F22" s="578">
        <v>14988.059999999998</v>
      </c>
      <c r="G22" s="583">
        <v>0.55000000000000004</v>
      </c>
      <c r="H22" s="583"/>
      <c r="I22" s="583"/>
      <c r="J22" s="583"/>
      <c r="K22" s="583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</row>
    <row r="23" spans="1:99" s="233" customFormat="1" ht="40.5" hidden="1" customHeight="1" x14ac:dyDescent="0.45">
      <c r="A23" s="769"/>
      <c r="B23" s="227" t="s">
        <v>239</v>
      </c>
      <c r="C23" s="492">
        <v>300</v>
      </c>
      <c r="D23" s="493">
        <v>4996.0199999999995</v>
      </c>
      <c r="E23" s="493">
        <v>9992.0399999999991</v>
      </c>
      <c r="F23" s="578">
        <v>14988.059999999998</v>
      </c>
      <c r="G23" s="583">
        <v>0.51</v>
      </c>
      <c r="H23" s="583"/>
      <c r="I23" s="583"/>
      <c r="J23" s="583"/>
      <c r="K23" s="58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</row>
    <row r="24" spans="1:99" s="233" customFormat="1" ht="40.5" hidden="1" customHeight="1" x14ac:dyDescent="0.45">
      <c r="A24" s="769"/>
      <c r="B24" s="227" t="s">
        <v>216</v>
      </c>
      <c r="C24" s="492">
        <v>300</v>
      </c>
      <c r="D24" s="493">
        <v>4996.0199999999995</v>
      </c>
      <c r="E24" s="493">
        <v>9992.0399999999991</v>
      </c>
      <c r="F24" s="578">
        <v>14988.059999999998</v>
      </c>
      <c r="G24" s="583">
        <v>0.18</v>
      </c>
      <c r="H24" s="583"/>
      <c r="I24" s="583"/>
      <c r="J24" s="583"/>
      <c r="K24" s="583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</row>
    <row r="25" spans="1:99" s="380" customFormat="1" ht="40.5" hidden="1" customHeight="1" x14ac:dyDescent="0.45">
      <c r="A25" s="770" t="s">
        <v>172</v>
      </c>
      <c r="B25" s="275" t="s">
        <v>282</v>
      </c>
      <c r="C25" s="579">
        <v>125</v>
      </c>
      <c r="D25" s="493">
        <v>3330.68</v>
      </c>
      <c r="E25" s="493">
        <v>4163.3499999999995</v>
      </c>
      <c r="F25" s="578">
        <v>7494.0299999999988</v>
      </c>
      <c r="G25" s="583">
        <v>0.93</v>
      </c>
      <c r="H25" s="583"/>
      <c r="I25" s="583"/>
      <c r="J25" s="583"/>
      <c r="K25" s="583"/>
      <c r="L25" s="233"/>
      <c r="M25" s="233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</row>
    <row r="26" spans="1:99" s="380" customFormat="1" ht="40.5" hidden="1" customHeight="1" x14ac:dyDescent="0.45">
      <c r="A26" s="771"/>
      <c r="B26" s="275" t="s">
        <v>281</v>
      </c>
      <c r="C26" s="579">
        <v>125</v>
      </c>
      <c r="D26" s="493">
        <v>3330.68</v>
      </c>
      <c r="E26" s="493">
        <v>4163.3499999999995</v>
      </c>
      <c r="F26" s="578">
        <v>7494.0299999999988</v>
      </c>
      <c r="G26" s="583">
        <v>0.75</v>
      </c>
      <c r="H26" s="583"/>
      <c r="I26" s="583"/>
      <c r="J26" s="583"/>
      <c r="K26" s="583"/>
      <c r="L26" s="233"/>
      <c r="M26" s="23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</row>
    <row r="27" spans="1:99" s="233" customFormat="1" ht="40.5" hidden="1" customHeight="1" x14ac:dyDescent="0.45">
      <c r="A27" s="771"/>
      <c r="B27" s="227" t="s">
        <v>292</v>
      </c>
      <c r="C27" s="579">
        <v>125</v>
      </c>
      <c r="D27" s="493">
        <v>3330.68</v>
      </c>
      <c r="E27" s="493">
        <v>4163.3499999999995</v>
      </c>
      <c r="F27" s="578">
        <v>7494.0299999999988</v>
      </c>
      <c r="G27" s="583">
        <v>0.52</v>
      </c>
      <c r="H27" s="583"/>
      <c r="I27" s="583"/>
      <c r="J27" s="583"/>
      <c r="K27" s="583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</row>
    <row r="28" spans="1:99" s="233" customFormat="1" ht="40.5" hidden="1" customHeight="1" x14ac:dyDescent="0.45">
      <c r="A28" s="772"/>
      <c r="B28" s="227" t="s">
        <v>198</v>
      </c>
      <c r="C28" s="579">
        <v>125</v>
      </c>
      <c r="D28" s="493">
        <v>3330.68</v>
      </c>
      <c r="E28" s="493">
        <v>4163.3499999999995</v>
      </c>
      <c r="F28" s="578">
        <v>7494.0299999999988</v>
      </c>
      <c r="G28" s="583">
        <v>0.18</v>
      </c>
      <c r="H28" s="583"/>
      <c r="I28" s="583"/>
      <c r="J28" s="583"/>
      <c r="K28" s="58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</row>
    <row r="29" spans="1:99" s="233" customFormat="1" ht="40.5" hidden="1" customHeight="1" thickBot="1" x14ac:dyDescent="0.5">
      <c r="A29" s="773" t="s">
        <v>171</v>
      </c>
      <c r="B29" s="774"/>
      <c r="C29" s="599">
        <v>50</v>
      </c>
      <c r="D29" s="581">
        <v>1665.34</v>
      </c>
      <c r="E29" s="581">
        <v>1665.34</v>
      </c>
      <c r="F29" s="582">
        <v>3330.68</v>
      </c>
      <c r="G29" s="588">
        <v>0.54</v>
      </c>
      <c r="H29" s="588"/>
      <c r="I29" s="588"/>
      <c r="J29" s="588"/>
      <c r="K29" s="588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</row>
    <row r="30" spans="1:99" s="614" customFormat="1" ht="15.75" customHeight="1" thickBot="1" x14ac:dyDescent="0.5">
      <c r="A30" s="609"/>
      <c r="B30" s="610"/>
      <c r="C30" s="611"/>
      <c r="D30" s="611"/>
      <c r="E30" s="611"/>
      <c r="F30" s="612"/>
      <c r="G30" s="613"/>
      <c r="H30" s="617"/>
      <c r="I30" s="617"/>
      <c r="J30" s="617"/>
      <c r="K30" s="617"/>
      <c r="L30" s="615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</row>
    <row r="31" spans="1:99" s="621" customFormat="1" ht="81.75" customHeight="1" thickBot="1" x14ac:dyDescent="0.45">
      <c r="A31" s="775" t="s">
        <v>320</v>
      </c>
      <c r="B31" s="776"/>
      <c r="C31" s="776"/>
      <c r="D31" s="776"/>
      <c r="E31" s="776"/>
      <c r="F31" s="776"/>
      <c r="G31" s="776"/>
      <c r="H31" s="776"/>
      <c r="I31" s="776"/>
      <c r="J31" s="776"/>
      <c r="K31" s="776"/>
      <c r="L31" s="777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</row>
    <row r="32" spans="1:99" s="621" customFormat="1" ht="98.25" customHeight="1" thickBot="1" x14ac:dyDescent="0.45">
      <c r="A32" s="797" t="s">
        <v>2</v>
      </c>
      <c r="B32" s="798"/>
      <c r="C32" s="527" t="s">
        <v>297</v>
      </c>
      <c r="D32" s="527" t="s">
        <v>229</v>
      </c>
      <c r="E32" s="527" t="s">
        <v>253</v>
      </c>
      <c r="F32" s="527" t="s">
        <v>231</v>
      </c>
      <c r="G32" s="623" t="s">
        <v>298</v>
      </c>
      <c r="H32" s="624" t="s">
        <v>306</v>
      </c>
      <c r="I32" s="624" t="s">
        <v>303</v>
      </c>
      <c r="J32" s="619" t="s">
        <v>245</v>
      </c>
      <c r="K32" s="619" t="s">
        <v>310</v>
      </c>
      <c r="L32" s="529" t="s">
        <v>5</v>
      </c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</row>
    <row r="33" spans="1:99" s="621" customFormat="1" ht="39.75" customHeight="1" x14ac:dyDescent="0.4">
      <c r="A33" s="643"/>
      <c r="B33" s="625"/>
      <c r="C33" s="625"/>
      <c r="D33" s="625"/>
      <c r="E33" s="625" t="s">
        <v>308</v>
      </c>
      <c r="F33" s="625"/>
      <c r="G33" s="625" t="s">
        <v>309</v>
      </c>
      <c r="H33" s="625" t="s">
        <v>312</v>
      </c>
      <c r="I33" s="625"/>
      <c r="J33" s="625" t="s">
        <v>313</v>
      </c>
      <c r="K33" s="625" t="s">
        <v>314</v>
      </c>
      <c r="L33" s="644" t="s">
        <v>315</v>
      </c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</row>
    <row r="34" spans="1:99" s="165" customFormat="1" ht="27.75" customHeight="1" x14ac:dyDescent="0.4">
      <c r="A34" s="799" t="s">
        <v>28</v>
      </c>
      <c r="B34" s="626" t="s">
        <v>215</v>
      </c>
      <c r="C34" s="625">
        <v>600</v>
      </c>
      <c r="D34" s="627">
        <v>4996.0199999999995</v>
      </c>
      <c r="E34" s="627">
        <v>19984.079999999998</v>
      </c>
      <c r="F34" s="628">
        <v>24980.1</v>
      </c>
      <c r="G34" s="629">
        <v>0.66</v>
      </c>
      <c r="H34" s="630">
        <f>E34*0.94*G34</f>
        <v>12398.123232</v>
      </c>
      <c r="I34" s="630" t="e">
        <f>#REF!-H34</f>
        <v>#REF!</v>
      </c>
      <c r="J34" s="160">
        <f>H34*0.0066</f>
        <v>81.827613331199998</v>
      </c>
      <c r="K34" s="160">
        <f>H34*0.27</f>
        <v>3347.4932726400002</v>
      </c>
      <c r="L34" s="631">
        <f>H34-J34-K34</f>
        <v>8968.8023460288005</v>
      </c>
    </row>
    <row r="35" spans="1:99" s="165" customFormat="1" ht="27.75" customHeight="1" x14ac:dyDescent="0.4">
      <c r="A35" s="778"/>
      <c r="B35" s="228" t="s">
        <v>214</v>
      </c>
      <c r="C35" s="159">
        <v>600</v>
      </c>
      <c r="D35" s="160">
        <v>4996.0199999999995</v>
      </c>
      <c r="E35" s="160">
        <v>19984.079999999998</v>
      </c>
      <c r="F35" s="632">
        <v>24980.1</v>
      </c>
      <c r="G35" s="633">
        <v>0.34</v>
      </c>
      <c r="H35" s="630">
        <f t="shared" ref="H35:H58" si="0">E35*0.94*G35</f>
        <v>6386.9119680000003</v>
      </c>
      <c r="I35" s="630" t="e">
        <f>#REF!-H35</f>
        <v>#REF!</v>
      </c>
      <c r="J35" s="160">
        <f t="shared" ref="J35:J58" si="1">H35*0.0066</f>
        <v>42.153618988800005</v>
      </c>
      <c r="K35" s="160">
        <f t="shared" ref="K35:K58" si="2">H35*0.27</f>
        <v>1724.4662313600002</v>
      </c>
      <c r="L35" s="631">
        <f t="shared" ref="L35:L58" si="3">H35-J35-K35</f>
        <v>4620.2921176512</v>
      </c>
    </row>
    <row r="36" spans="1:99" s="165" customFormat="1" ht="27.75" customHeight="1" x14ac:dyDescent="0.4">
      <c r="A36" s="778"/>
      <c r="B36" s="228" t="s">
        <v>220</v>
      </c>
      <c r="C36" s="159">
        <v>600</v>
      </c>
      <c r="D36" s="160">
        <v>4996.0199999999995</v>
      </c>
      <c r="E36" s="160">
        <v>19984.079999999998</v>
      </c>
      <c r="F36" s="632">
        <v>16231.55401011872</v>
      </c>
      <c r="G36" s="633">
        <v>0.25</v>
      </c>
      <c r="H36" s="630">
        <f t="shared" si="0"/>
        <v>4696.2587999999996</v>
      </c>
      <c r="I36" s="630" t="e">
        <f>#REF!-H36</f>
        <v>#REF!</v>
      </c>
      <c r="J36" s="160">
        <f t="shared" si="1"/>
        <v>30.995308079999997</v>
      </c>
      <c r="K36" s="160">
        <f t="shared" si="2"/>
        <v>1267.9898759999999</v>
      </c>
      <c r="L36" s="631">
        <f t="shared" si="3"/>
        <v>3397.2736159200003</v>
      </c>
    </row>
    <row r="37" spans="1:99" s="165" customFormat="1" ht="27.75" customHeight="1" x14ac:dyDescent="0.4">
      <c r="A37" s="778"/>
      <c r="B37" s="228" t="s">
        <v>32</v>
      </c>
      <c r="C37" s="159">
        <v>450</v>
      </c>
      <c r="D37" s="160">
        <v>4996.0199999999995</v>
      </c>
      <c r="E37" s="160">
        <v>14988.06</v>
      </c>
      <c r="F37" s="632">
        <v>19984.079999999998</v>
      </c>
      <c r="G37" s="633">
        <v>0.63</v>
      </c>
      <c r="H37" s="630">
        <f t="shared" si="0"/>
        <v>8875.9291319999993</v>
      </c>
      <c r="I37" s="630" t="e">
        <f>#REF!-H37</f>
        <v>#REF!</v>
      </c>
      <c r="J37" s="160">
        <f t="shared" si="1"/>
        <v>58.581132271199998</v>
      </c>
      <c r="K37" s="160">
        <f t="shared" si="2"/>
        <v>2396.50086564</v>
      </c>
      <c r="L37" s="631">
        <f t="shared" si="3"/>
        <v>6420.8471340887991</v>
      </c>
    </row>
    <row r="38" spans="1:99" s="165" customFormat="1" ht="27.75" customHeight="1" x14ac:dyDescent="0.4">
      <c r="A38" s="778"/>
      <c r="B38" s="228" t="s">
        <v>237</v>
      </c>
      <c r="C38" s="159">
        <v>450</v>
      </c>
      <c r="D38" s="160">
        <v>4996.0199999999995</v>
      </c>
      <c r="E38" s="160">
        <v>14988.06</v>
      </c>
      <c r="F38" s="632">
        <v>19984.079999999998</v>
      </c>
      <c r="G38" s="633">
        <v>0.49</v>
      </c>
      <c r="H38" s="630">
        <f t="shared" si="0"/>
        <v>6903.5004359999994</v>
      </c>
      <c r="I38" s="630" t="e">
        <f>#REF!-H38</f>
        <v>#REF!</v>
      </c>
      <c r="J38" s="160">
        <f t="shared" si="1"/>
        <v>45.563102877599995</v>
      </c>
      <c r="K38" s="160">
        <f t="shared" si="2"/>
        <v>1863.9451177199999</v>
      </c>
      <c r="L38" s="631">
        <f t="shared" si="3"/>
        <v>4993.9922154023998</v>
      </c>
    </row>
    <row r="39" spans="1:99" s="165" customFormat="1" ht="27.75" customHeight="1" x14ac:dyDescent="0.4">
      <c r="A39" s="778"/>
      <c r="B39" s="228" t="s">
        <v>234</v>
      </c>
      <c r="C39" s="159">
        <v>300</v>
      </c>
      <c r="D39" s="160">
        <v>4996.0199999999995</v>
      </c>
      <c r="E39" s="160">
        <v>9992.0399999999991</v>
      </c>
      <c r="F39" s="632">
        <v>14988.059999999998</v>
      </c>
      <c r="G39" s="633">
        <v>0.57999999999999996</v>
      </c>
      <c r="H39" s="630">
        <f t="shared" si="0"/>
        <v>5447.6602079999993</v>
      </c>
      <c r="I39" s="630" t="e">
        <f>#REF!-H39</f>
        <v>#REF!</v>
      </c>
      <c r="J39" s="160">
        <f t="shared" si="1"/>
        <v>35.954557372799997</v>
      </c>
      <c r="K39" s="160">
        <f t="shared" si="2"/>
        <v>1470.8682561599999</v>
      </c>
      <c r="L39" s="631">
        <f t="shared" si="3"/>
        <v>3940.8373944671994</v>
      </c>
    </row>
    <row r="40" spans="1:99" s="165" customFormat="1" ht="27.75" customHeight="1" x14ac:dyDescent="0.4">
      <c r="A40" s="778"/>
      <c r="B40" s="228" t="s">
        <v>242</v>
      </c>
      <c r="C40" s="159">
        <v>300</v>
      </c>
      <c r="D40" s="160">
        <v>4996.0199999999995</v>
      </c>
      <c r="E40" s="160">
        <v>9992.0399999999991</v>
      </c>
      <c r="F40" s="632">
        <v>14988.059999999998</v>
      </c>
      <c r="G40" s="633">
        <v>0.55000000000000004</v>
      </c>
      <c r="H40" s="630">
        <f t="shared" si="0"/>
        <v>5165.8846800000001</v>
      </c>
      <c r="I40" s="630" t="e">
        <f>#REF!-H40</f>
        <v>#REF!</v>
      </c>
      <c r="J40" s="160">
        <f t="shared" si="1"/>
        <v>34.094838887999998</v>
      </c>
      <c r="K40" s="160">
        <f t="shared" si="2"/>
        <v>1394.7888636</v>
      </c>
      <c r="L40" s="631">
        <f t="shared" si="3"/>
        <v>3737.0009775120006</v>
      </c>
    </row>
    <row r="41" spans="1:99" s="165" customFormat="1" ht="27.75" customHeight="1" x14ac:dyDescent="0.4">
      <c r="A41" s="778"/>
      <c r="B41" s="228" t="s">
        <v>235</v>
      </c>
      <c r="C41" s="159">
        <v>300</v>
      </c>
      <c r="D41" s="160">
        <v>4996.0199999999995</v>
      </c>
      <c r="E41" s="160">
        <v>9992.0399999999991</v>
      </c>
      <c r="F41" s="632">
        <v>14988.059999999998</v>
      </c>
      <c r="G41" s="633">
        <v>0.5</v>
      </c>
      <c r="H41" s="630">
        <f t="shared" si="0"/>
        <v>4696.2587999999996</v>
      </c>
      <c r="I41" s="630" t="e">
        <f>#REF!-H41</f>
        <v>#REF!</v>
      </c>
      <c r="J41" s="160">
        <f t="shared" si="1"/>
        <v>30.995308079999997</v>
      </c>
      <c r="K41" s="160">
        <f t="shared" si="2"/>
        <v>1267.9898759999999</v>
      </c>
      <c r="L41" s="631">
        <f t="shared" si="3"/>
        <v>3397.2736159200003</v>
      </c>
    </row>
    <row r="42" spans="1:99" s="165" customFormat="1" ht="27.75" customHeight="1" x14ac:dyDescent="0.4">
      <c r="A42" s="778"/>
      <c r="B42" s="228" t="s">
        <v>224</v>
      </c>
      <c r="C42" s="159">
        <v>300</v>
      </c>
      <c r="D42" s="160">
        <v>4996.0199999999995</v>
      </c>
      <c r="E42" s="160">
        <v>9992.0399999999991</v>
      </c>
      <c r="F42" s="632">
        <v>14988.059999999998</v>
      </c>
      <c r="G42" s="633">
        <v>0.19</v>
      </c>
      <c r="H42" s="630">
        <f t="shared" si="0"/>
        <v>1784.5783439999998</v>
      </c>
      <c r="I42" s="630" t="e">
        <f>#REF!-H42</f>
        <v>#REF!</v>
      </c>
      <c r="J42" s="160">
        <f t="shared" si="1"/>
        <v>11.778217070399998</v>
      </c>
      <c r="K42" s="160">
        <f t="shared" si="2"/>
        <v>481.83615287999999</v>
      </c>
      <c r="L42" s="631">
        <f t="shared" si="3"/>
        <v>1290.9639740496</v>
      </c>
    </row>
    <row r="43" spans="1:99" s="165" customFormat="1" ht="27.75" customHeight="1" x14ac:dyDescent="0.4">
      <c r="A43" s="778" t="s">
        <v>29</v>
      </c>
      <c r="B43" s="228" t="s">
        <v>221</v>
      </c>
      <c r="C43" s="159">
        <v>600</v>
      </c>
      <c r="D43" s="160">
        <v>4996.0199999999995</v>
      </c>
      <c r="E43" s="160">
        <v>19984.079999999998</v>
      </c>
      <c r="F43" s="632">
        <v>24980.1</v>
      </c>
      <c r="G43" s="634">
        <v>0.64</v>
      </c>
      <c r="H43" s="630">
        <f t="shared" si="0"/>
        <v>12022.422527999999</v>
      </c>
      <c r="I43" s="630" t="e">
        <f>#REF!-H43</f>
        <v>#REF!</v>
      </c>
      <c r="J43" s="160">
        <f t="shared" si="1"/>
        <v>79.347988684800001</v>
      </c>
      <c r="K43" s="160">
        <f t="shared" si="2"/>
        <v>3246.0540825600001</v>
      </c>
      <c r="L43" s="631">
        <f t="shared" si="3"/>
        <v>8697.0204567551991</v>
      </c>
    </row>
    <row r="44" spans="1:99" s="165" customFormat="1" ht="27.75" customHeight="1" x14ac:dyDescent="0.4">
      <c r="A44" s="778"/>
      <c r="B44" s="228" t="s">
        <v>222</v>
      </c>
      <c r="C44" s="159">
        <v>600</v>
      </c>
      <c r="D44" s="160">
        <v>4996.0199999999995</v>
      </c>
      <c r="E44" s="160">
        <v>19984.079999999998</v>
      </c>
      <c r="F44" s="632">
        <v>24980.1</v>
      </c>
      <c r="G44" s="634">
        <v>0.33</v>
      </c>
      <c r="H44" s="630">
        <f t="shared" si="0"/>
        <v>6199.061616</v>
      </c>
      <c r="I44" s="630" t="e">
        <f>#REF!-H44</f>
        <v>#REF!</v>
      </c>
      <c r="J44" s="160">
        <f t="shared" si="1"/>
        <v>40.913806665599999</v>
      </c>
      <c r="K44" s="160">
        <f t="shared" si="2"/>
        <v>1673.7466363200001</v>
      </c>
      <c r="L44" s="631">
        <f t="shared" si="3"/>
        <v>4484.4011730144002</v>
      </c>
    </row>
    <row r="45" spans="1:99" s="165" customFormat="1" ht="27.75" customHeight="1" x14ac:dyDescent="0.4">
      <c r="A45" s="778"/>
      <c r="B45" s="228" t="s">
        <v>32</v>
      </c>
      <c r="C45" s="159">
        <v>450</v>
      </c>
      <c r="D45" s="160">
        <v>4996.0199999999995</v>
      </c>
      <c r="E45" s="160">
        <v>14988.06</v>
      </c>
      <c r="F45" s="632">
        <v>19984.079999999998</v>
      </c>
      <c r="G45" s="633">
        <v>0.56999999999999995</v>
      </c>
      <c r="H45" s="630">
        <f t="shared" si="0"/>
        <v>8030.6025479999989</v>
      </c>
      <c r="I45" s="630" t="e">
        <f>#REF!-H45</f>
        <v>#REF!</v>
      </c>
      <c r="J45" s="160">
        <f t="shared" si="1"/>
        <v>53.001976816799996</v>
      </c>
      <c r="K45" s="160">
        <f t="shared" si="2"/>
        <v>2168.2626879599998</v>
      </c>
      <c r="L45" s="631">
        <f t="shared" si="3"/>
        <v>5809.3378832231992</v>
      </c>
    </row>
    <row r="46" spans="1:99" s="165" customFormat="1" ht="27.75" customHeight="1" x14ac:dyDescent="0.4">
      <c r="A46" s="778"/>
      <c r="B46" s="228" t="s">
        <v>237</v>
      </c>
      <c r="C46" s="159">
        <v>450</v>
      </c>
      <c r="D46" s="160">
        <v>4996.0199999999995</v>
      </c>
      <c r="E46" s="160">
        <v>14988.06</v>
      </c>
      <c r="F46" s="632">
        <v>19984.079999999998</v>
      </c>
      <c r="G46" s="633">
        <v>0.46</v>
      </c>
      <c r="H46" s="630">
        <f t="shared" si="0"/>
        <v>6480.8371440000001</v>
      </c>
      <c r="I46" s="630" t="e">
        <f>#REF!-H46</f>
        <v>#REF!</v>
      </c>
      <c r="J46" s="160">
        <f t="shared" si="1"/>
        <v>42.773525150399998</v>
      </c>
      <c r="K46" s="160">
        <f t="shared" si="2"/>
        <v>1749.8260288800002</v>
      </c>
      <c r="L46" s="631">
        <f t="shared" si="3"/>
        <v>4688.2375899695999</v>
      </c>
    </row>
    <row r="47" spans="1:99" s="165" customFormat="1" ht="27.75" customHeight="1" x14ac:dyDescent="0.4">
      <c r="A47" s="778"/>
      <c r="B47" s="228" t="s">
        <v>225</v>
      </c>
      <c r="C47" s="159">
        <v>450</v>
      </c>
      <c r="D47" s="160">
        <v>4996.0199999999995</v>
      </c>
      <c r="E47" s="160">
        <v>14988.06</v>
      </c>
      <c r="F47" s="632">
        <v>19984.079999999998</v>
      </c>
      <c r="G47" s="633">
        <v>0.35</v>
      </c>
      <c r="H47" s="630">
        <f t="shared" si="0"/>
        <v>4931.0717399999994</v>
      </c>
      <c r="I47" s="630" t="e">
        <f>#REF!-H47</f>
        <v>#REF!</v>
      </c>
      <c r="J47" s="160">
        <f t="shared" si="1"/>
        <v>32.545073483999992</v>
      </c>
      <c r="K47" s="160">
        <f t="shared" si="2"/>
        <v>1331.3893697999999</v>
      </c>
      <c r="L47" s="631">
        <f t="shared" si="3"/>
        <v>3567.1372967159996</v>
      </c>
    </row>
    <row r="48" spans="1:99" s="165" customFormat="1" ht="27.75" customHeight="1" x14ac:dyDescent="0.4">
      <c r="A48" s="778"/>
      <c r="B48" s="228" t="s">
        <v>243</v>
      </c>
      <c r="C48" s="159">
        <v>450</v>
      </c>
      <c r="D48" s="160">
        <v>4996.0199999999995</v>
      </c>
      <c r="E48" s="160">
        <v>14988.06</v>
      </c>
      <c r="F48" s="632">
        <v>19984.079999999998</v>
      </c>
      <c r="G48" s="633">
        <v>0.32</v>
      </c>
      <c r="H48" s="630">
        <f t="shared" si="0"/>
        <v>4508.4084480000001</v>
      </c>
      <c r="I48" s="630" t="e">
        <f>#REF!-H48</f>
        <v>#REF!</v>
      </c>
      <c r="J48" s="160">
        <f t="shared" si="1"/>
        <v>29.755495756800002</v>
      </c>
      <c r="K48" s="160">
        <f t="shared" si="2"/>
        <v>1217.27028096</v>
      </c>
      <c r="L48" s="631">
        <f t="shared" si="3"/>
        <v>3261.3826712832001</v>
      </c>
    </row>
    <row r="49" spans="1:99" s="165" customFormat="1" ht="27.75" customHeight="1" x14ac:dyDescent="0.4">
      <c r="A49" s="778"/>
      <c r="B49" s="228" t="s">
        <v>226</v>
      </c>
      <c r="C49" s="159">
        <v>200</v>
      </c>
      <c r="D49" s="160">
        <v>4996.0199999999995</v>
      </c>
      <c r="E49" s="160">
        <v>6661.36</v>
      </c>
      <c r="F49" s="632">
        <v>11657.38</v>
      </c>
      <c r="G49" s="633">
        <v>0.74</v>
      </c>
      <c r="H49" s="630">
        <f t="shared" si="0"/>
        <v>4633.6420159999998</v>
      </c>
      <c r="I49" s="630" t="e">
        <f>#REF!-H49</f>
        <v>#REF!</v>
      </c>
      <c r="J49" s="160">
        <f t="shared" si="1"/>
        <v>30.5820373056</v>
      </c>
      <c r="K49" s="160">
        <f t="shared" si="2"/>
        <v>1251.0833443199999</v>
      </c>
      <c r="L49" s="631">
        <f t="shared" si="3"/>
        <v>3351.9766343743995</v>
      </c>
    </row>
    <row r="50" spans="1:99" s="165" customFormat="1" ht="27.75" customHeight="1" x14ac:dyDescent="0.4">
      <c r="A50" s="778"/>
      <c r="B50" s="228" t="s">
        <v>227</v>
      </c>
      <c r="C50" s="159">
        <v>200</v>
      </c>
      <c r="D50" s="160">
        <v>4996.0199999999995</v>
      </c>
      <c r="E50" s="160">
        <v>6661.36</v>
      </c>
      <c r="F50" s="632">
        <v>11657.38</v>
      </c>
      <c r="G50" s="634">
        <v>0.55000000000000004</v>
      </c>
      <c r="H50" s="630">
        <f t="shared" si="0"/>
        <v>3443.9231200000004</v>
      </c>
      <c r="I50" s="630" t="e">
        <f>#REF!-H50</f>
        <v>#REF!</v>
      </c>
      <c r="J50" s="160">
        <f t="shared" si="1"/>
        <v>22.729892592000002</v>
      </c>
      <c r="K50" s="160">
        <f t="shared" si="2"/>
        <v>929.8592424000002</v>
      </c>
      <c r="L50" s="631">
        <f t="shared" si="3"/>
        <v>2491.3339850080001</v>
      </c>
    </row>
    <row r="51" spans="1:99" s="165" customFormat="1" ht="27.75" customHeight="1" x14ac:dyDescent="0.4">
      <c r="A51" s="779" t="s">
        <v>31</v>
      </c>
      <c r="B51" s="237" t="s">
        <v>32</v>
      </c>
      <c r="C51" s="170">
        <v>270</v>
      </c>
      <c r="D51" s="160">
        <v>4996.0199999999995</v>
      </c>
      <c r="E51" s="160">
        <v>8992.8359999999993</v>
      </c>
      <c r="F51" s="632">
        <v>13988.856</v>
      </c>
      <c r="G51" s="633">
        <v>0.64</v>
      </c>
      <c r="H51" s="630">
        <f t="shared" si="0"/>
        <v>5410.0901375999993</v>
      </c>
      <c r="I51" s="630" t="e">
        <f>#REF!-H51</f>
        <v>#REF!</v>
      </c>
      <c r="J51" s="160">
        <f t="shared" si="1"/>
        <v>35.706594908159992</v>
      </c>
      <c r="K51" s="160">
        <f t="shared" si="2"/>
        <v>1460.7243371519999</v>
      </c>
      <c r="L51" s="631">
        <f t="shared" si="3"/>
        <v>3913.6592055398396</v>
      </c>
    </row>
    <row r="52" spans="1:99" s="165" customFormat="1" ht="27.75" customHeight="1" x14ac:dyDescent="0.4">
      <c r="A52" s="780"/>
      <c r="B52" s="237" t="s">
        <v>225</v>
      </c>
      <c r="C52" s="170">
        <v>270</v>
      </c>
      <c r="D52" s="160">
        <v>4996.0199999999995</v>
      </c>
      <c r="E52" s="160">
        <v>8992.8359999999993</v>
      </c>
      <c r="F52" s="632">
        <v>13988.856</v>
      </c>
      <c r="G52" s="633">
        <v>0.4</v>
      </c>
      <c r="H52" s="630">
        <f t="shared" si="0"/>
        <v>3381.3063359999996</v>
      </c>
      <c r="I52" s="630" t="e">
        <f>#REF!-H52</f>
        <v>#REF!</v>
      </c>
      <c r="J52" s="160">
        <f t="shared" si="1"/>
        <v>22.316621817599998</v>
      </c>
      <c r="K52" s="160">
        <f t="shared" si="2"/>
        <v>912.95271071999991</v>
      </c>
      <c r="L52" s="631">
        <f t="shared" si="3"/>
        <v>2446.0370034623993</v>
      </c>
    </row>
    <row r="53" spans="1:99" s="165" customFormat="1" ht="27.75" customHeight="1" x14ac:dyDescent="0.4">
      <c r="A53" s="780"/>
      <c r="B53" s="237" t="s">
        <v>226</v>
      </c>
      <c r="C53" s="170">
        <v>180</v>
      </c>
      <c r="D53" s="160">
        <v>4996.0199999999995</v>
      </c>
      <c r="E53" s="160">
        <v>5995.2240000000002</v>
      </c>
      <c r="F53" s="632">
        <v>10991.243999999999</v>
      </c>
      <c r="G53" s="633">
        <v>0.63</v>
      </c>
      <c r="H53" s="630">
        <f t="shared" si="0"/>
        <v>3550.3716528</v>
      </c>
      <c r="I53" s="630" t="e">
        <f>#REF!-H53</f>
        <v>#REF!</v>
      </c>
      <c r="J53" s="160">
        <f t="shared" si="1"/>
        <v>23.432452908479998</v>
      </c>
      <c r="K53" s="160">
        <f t="shared" si="2"/>
        <v>958.60034625600008</v>
      </c>
      <c r="L53" s="631">
        <f t="shared" si="3"/>
        <v>2568.3388536355196</v>
      </c>
    </row>
    <row r="54" spans="1:99" s="165" customFormat="1" ht="27.75" customHeight="1" x14ac:dyDescent="0.4">
      <c r="A54" s="780"/>
      <c r="B54" s="237" t="s">
        <v>227</v>
      </c>
      <c r="C54" s="170">
        <v>180</v>
      </c>
      <c r="D54" s="160">
        <v>4996.0199999999995</v>
      </c>
      <c r="E54" s="160">
        <v>5995.2240000000002</v>
      </c>
      <c r="F54" s="632">
        <v>10991.243999999999</v>
      </c>
      <c r="G54" s="633">
        <v>0.44</v>
      </c>
      <c r="H54" s="630">
        <f t="shared" si="0"/>
        <v>2479.6246464000001</v>
      </c>
      <c r="I54" s="630" t="e">
        <f>#REF!-H54</f>
        <v>#REF!</v>
      </c>
      <c r="J54" s="160">
        <f t="shared" si="1"/>
        <v>16.36552266624</v>
      </c>
      <c r="K54" s="160">
        <f t="shared" si="2"/>
        <v>669.49865452800009</v>
      </c>
      <c r="L54" s="631">
        <f t="shared" si="3"/>
        <v>1793.76046920576</v>
      </c>
    </row>
    <row r="55" spans="1:99" s="165" customFormat="1" ht="27.75" customHeight="1" x14ac:dyDescent="0.4">
      <c r="A55" s="780"/>
      <c r="B55" s="237" t="s">
        <v>228</v>
      </c>
      <c r="C55" s="170">
        <v>180</v>
      </c>
      <c r="D55" s="160">
        <v>4996.0199999999995</v>
      </c>
      <c r="E55" s="160">
        <v>5995.2240000000002</v>
      </c>
      <c r="F55" s="632">
        <v>10991.243999999999</v>
      </c>
      <c r="G55" s="633">
        <v>0.1</v>
      </c>
      <c r="H55" s="630">
        <f t="shared" si="0"/>
        <v>563.55105600000002</v>
      </c>
      <c r="I55" s="630" t="e">
        <f>#REF!-H55</f>
        <v>#REF!</v>
      </c>
      <c r="J55" s="160">
        <f t="shared" si="1"/>
        <v>3.7194369696000003</v>
      </c>
      <c r="K55" s="160">
        <f t="shared" si="2"/>
        <v>152.15878512</v>
      </c>
      <c r="L55" s="631">
        <f t="shared" si="3"/>
        <v>407.67283391040002</v>
      </c>
    </row>
    <row r="56" spans="1:99" s="635" customFormat="1" ht="27.75" customHeight="1" x14ac:dyDescent="0.4">
      <c r="A56" s="781"/>
      <c r="B56" s="228" t="s">
        <v>199</v>
      </c>
      <c r="C56" s="170">
        <v>125</v>
      </c>
      <c r="D56" s="160">
        <v>3331</v>
      </c>
      <c r="E56" s="160">
        <v>4163</v>
      </c>
      <c r="F56" s="632">
        <v>7494</v>
      </c>
      <c r="G56" s="633">
        <v>0.5</v>
      </c>
      <c r="H56" s="630">
        <f t="shared" si="0"/>
        <v>1956.61</v>
      </c>
      <c r="I56" s="630" t="e">
        <f>#REF!-H56</f>
        <v>#REF!</v>
      </c>
      <c r="J56" s="160">
        <f t="shared" si="1"/>
        <v>12.913625999999999</v>
      </c>
      <c r="K56" s="160">
        <f t="shared" si="2"/>
        <v>528.28470000000004</v>
      </c>
      <c r="L56" s="631">
        <f t="shared" si="3"/>
        <v>1415.4116739999999</v>
      </c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</row>
    <row r="57" spans="1:99" s="165" customFormat="1" ht="27.75" customHeight="1" x14ac:dyDescent="0.4">
      <c r="A57" s="793" t="s">
        <v>173</v>
      </c>
      <c r="B57" s="794"/>
      <c r="C57" s="171">
        <v>125</v>
      </c>
      <c r="D57" s="160">
        <v>3330.68</v>
      </c>
      <c r="E57" s="160">
        <v>4163.3499999999995</v>
      </c>
      <c r="F57" s="632">
        <v>7494.0299999999988</v>
      </c>
      <c r="G57" s="633">
        <v>0.41</v>
      </c>
      <c r="H57" s="630">
        <f t="shared" si="0"/>
        <v>1604.5550899999996</v>
      </c>
      <c r="I57" s="630" t="e">
        <f>#REF!-H57</f>
        <v>#REF!</v>
      </c>
      <c r="J57" s="160">
        <f t="shared" si="1"/>
        <v>10.590063593999997</v>
      </c>
      <c r="K57" s="160">
        <f t="shared" si="2"/>
        <v>433.22987429999995</v>
      </c>
      <c r="L57" s="631">
        <f t="shared" si="3"/>
        <v>1160.7351521059998</v>
      </c>
    </row>
    <row r="58" spans="1:99" s="165" customFormat="1" ht="27.75" customHeight="1" thickBot="1" x14ac:dyDescent="0.45">
      <c r="A58" s="795" t="s">
        <v>174</v>
      </c>
      <c r="B58" s="796"/>
      <c r="C58" s="636">
        <v>75</v>
      </c>
      <c r="D58" s="637">
        <v>2498.0099999999998</v>
      </c>
      <c r="E58" s="637">
        <v>2498</v>
      </c>
      <c r="F58" s="638">
        <v>4996.01</v>
      </c>
      <c r="G58" s="639">
        <v>0.63</v>
      </c>
      <c r="H58" s="640">
        <f t="shared" si="0"/>
        <v>1479.3155999999999</v>
      </c>
      <c r="I58" s="640" t="e">
        <f>#REF!-H58</f>
        <v>#REF!</v>
      </c>
      <c r="J58" s="637">
        <f t="shared" si="1"/>
        <v>9.7634829599999993</v>
      </c>
      <c r="K58" s="637">
        <f t="shared" si="2"/>
        <v>399.415212</v>
      </c>
      <c r="L58" s="645">
        <f t="shared" si="3"/>
        <v>1070.1369050399999</v>
      </c>
    </row>
    <row r="59" spans="1:99" s="165" customFormat="1" ht="27" thickBot="1" x14ac:dyDescent="0.45">
      <c r="A59" s="641"/>
      <c r="G59" s="642"/>
      <c r="H59" s="642"/>
      <c r="I59" s="642"/>
      <c r="J59" s="642"/>
      <c r="K59" s="642"/>
    </row>
    <row r="60" spans="1:99" ht="29.25" thickBot="1" x14ac:dyDescent="0.5">
      <c r="B60" s="648" t="s">
        <v>317</v>
      </c>
    </row>
    <row r="61" spans="1:99" x14ac:dyDescent="0.45">
      <c r="B61" s="646" t="s">
        <v>318</v>
      </c>
    </row>
    <row r="62" spans="1:99" x14ac:dyDescent="0.45">
      <c r="B62" s="646" t="s">
        <v>319</v>
      </c>
    </row>
    <row r="63" spans="1:99" ht="29.25" thickBot="1" x14ac:dyDescent="0.5">
      <c r="B63" s="647" t="s">
        <v>316</v>
      </c>
    </row>
  </sheetData>
  <mergeCells count="14">
    <mergeCell ref="A25:A28"/>
    <mergeCell ref="A1:F1"/>
    <mergeCell ref="A4:K4"/>
    <mergeCell ref="A5:B5"/>
    <mergeCell ref="A7:A15"/>
    <mergeCell ref="A16:A24"/>
    <mergeCell ref="A57:B57"/>
    <mergeCell ref="A58:B58"/>
    <mergeCell ref="A31:L31"/>
    <mergeCell ref="A29:B29"/>
    <mergeCell ref="A32:B32"/>
    <mergeCell ref="A34:A42"/>
    <mergeCell ref="A43:A50"/>
    <mergeCell ref="A51:A56"/>
  </mergeCells>
  <pageMargins left="1.299212598425197" right="0.70866141732283472" top="0.9448818897637796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workbookViewId="0">
      <pane ySplit="2" topLeftCell="A3" activePane="bottomLeft" state="frozen"/>
      <selection pane="bottomLeft" activeCell="H24" sqref="H24"/>
    </sheetView>
  </sheetViews>
  <sheetFormatPr defaultRowHeight="15.75" x14ac:dyDescent="0.25"/>
  <cols>
    <col min="1" max="1" width="22" style="79" customWidth="1"/>
    <col min="2" max="2" width="9.140625" style="79" customWidth="1"/>
    <col min="3" max="3" width="12.5703125" customWidth="1"/>
    <col min="4" max="5" width="14.85546875" customWidth="1"/>
    <col min="6" max="7" width="15.140625" customWidth="1"/>
    <col min="8" max="8" width="13.42578125" customWidth="1"/>
    <col min="9" max="10" width="10.42578125" customWidth="1"/>
    <col min="11" max="12" width="11.28515625" customWidth="1"/>
    <col min="13" max="15" width="10.42578125" customWidth="1"/>
    <col min="18" max="18" width="12.140625" customWidth="1"/>
    <col min="19" max="19" width="10.42578125" customWidth="1"/>
    <col min="21" max="21" width="13" customWidth="1"/>
    <col min="22" max="22" width="12.85546875" customWidth="1"/>
    <col min="23" max="23" width="10.28515625" bestFit="1" customWidth="1"/>
    <col min="24" max="24" width="10.42578125" customWidth="1"/>
    <col min="29" max="29" width="12.140625" customWidth="1"/>
    <col min="30" max="30" width="11" customWidth="1"/>
    <col min="33" max="33" width="12" customWidth="1"/>
    <col min="34" max="34" width="10.140625" customWidth="1"/>
  </cols>
  <sheetData>
    <row r="1" spans="1:39" ht="63.75" x14ac:dyDescent="0.25">
      <c r="A1" s="78" t="s">
        <v>39</v>
      </c>
      <c r="B1" s="78"/>
      <c r="C1" s="74" t="s">
        <v>121</v>
      </c>
      <c r="D1" s="74" t="s">
        <v>122</v>
      </c>
      <c r="E1" s="74" t="s">
        <v>123</v>
      </c>
      <c r="F1" s="76" t="s">
        <v>184</v>
      </c>
      <c r="G1" s="76" t="s">
        <v>185</v>
      </c>
      <c r="H1" s="76" t="s">
        <v>124</v>
      </c>
      <c r="I1" s="76" t="s">
        <v>186</v>
      </c>
      <c r="J1" s="76" t="s">
        <v>187</v>
      </c>
      <c r="K1" s="76" t="s">
        <v>188</v>
      </c>
      <c r="L1" s="76" t="s">
        <v>189</v>
      </c>
      <c r="M1" s="76" t="s">
        <v>125</v>
      </c>
      <c r="N1" s="76" t="s">
        <v>190</v>
      </c>
      <c r="O1" s="76" t="s">
        <v>191</v>
      </c>
      <c r="P1" s="76" t="s">
        <v>16</v>
      </c>
      <c r="Q1" s="76" t="s">
        <v>17</v>
      </c>
      <c r="R1" s="76" t="s">
        <v>126</v>
      </c>
      <c r="S1" s="76" t="s">
        <v>128</v>
      </c>
      <c r="T1" s="76" t="s">
        <v>192</v>
      </c>
      <c r="U1" s="76" t="s">
        <v>193</v>
      </c>
      <c r="V1" s="76" t="s">
        <v>130</v>
      </c>
      <c r="W1" s="76" t="s">
        <v>132</v>
      </c>
      <c r="X1" s="76" t="s">
        <v>134</v>
      </c>
      <c r="Y1" s="76" t="s">
        <v>136</v>
      </c>
      <c r="Z1" s="76" t="s">
        <v>138</v>
      </c>
      <c r="AA1" s="76" t="s">
        <v>139</v>
      </c>
      <c r="AB1" s="76" t="s">
        <v>141</v>
      </c>
      <c r="AC1" s="76" t="s">
        <v>127</v>
      </c>
      <c r="AD1" s="76" t="s">
        <v>129</v>
      </c>
      <c r="AE1" s="76" t="s">
        <v>194</v>
      </c>
      <c r="AF1" s="76" t="s">
        <v>195</v>
      </c>
      <c r="AG1" s="76" t="s">
        <v>131</v>
      </c>
      <c r="AH1" s="76" t="s">
        <v>133</v>
      </c>
      <c r="AI1" s="76" t="s">
        <v>135</v>
      </c>
      <c r="AJ1" s="76" t="s">
        <v>137</v>
      </c>
      <c r="AK1" s="76" t="s">
        <v>138</v>
      </c>
      <c r="AL1" s="76" t="s">
        <v>140</v>
      </c>
      <c r="AM1" s="76" t="s">
        <v>142</v>
      </c>
    </row>
    <row r="2" spans="1:39" x14ac:dyDescent="0.25">
      <c r="A2" s="78"/>
      <c r="B2" s="78"/>
      <c r="C2" s="74"/>
      <c r="D2" s="74"/>
      <c r="E2" s="74"/>
      <c r="F2" s="73">
        <v>0.75</v>
      </c>
      <c r="G2" s="73">
        <v>0.25</v>
      </c>
      <c r="H2" s="73">
        <v>0.75</v>
      </c>
      <c r="I2" s="73">
        <v>0.75</v>
      </c>
      <c r="J2" s="73">
        <v>0.25</v>
      </c>
      <c r="K2" s="73">
        <v>0.75</v>
      </c>
      <c r="L2" s="73">
        <v>0.25</v>
      </c>
      <c r="M2" s="73">
        <v>0.75</v>
      </c>
      <c r="N2" s="73">
        <v>0.75</v>
      </c>
      <c r="O2" s="73">
        <v>0.3</v>
      </c>
      <c r="P2" s="73">
        <v>0.6</v>
      </c>
      <c r="Q2" s="73">
        <v>0.6</v>
      </c>
      <c r="R2" s="73">
        <v>0.75</v>
      </c>
      <c r="S2" s="73">
        <v>0.75</v>
      </c>
      <c r="T2" s="73">
        <v>0.75</v>
      </c>
      <c r="U2" s="73">
        <v>0.25</v>
      </c>
      <c r="V2" s="73">
        <v>0.75</v>
      </c>
      <c r="W2" s="73">
        <v>0.75</v>
      </c>
      <c r="X2" s="73">
        <v>0.75</v>
      </c>
      <c r="Y2" s="73">
        <v>0.75</v>
      </c>
      <c r="Z2" s="73">
        <v>0.75</v>
      </c>
      <c r="AA2" s="73">
        <v>0.65</v>
      </c>
      <c r="AB2" s="73">
        <v>0.65</v>
      </c>
      <c r="AC2" s="73">
        <v>0.75</v>
      </c>
      <c r="AD2" s="73">
        <v>0.75</v>
      </c>
      <c r="AE2" s="73">
        <v>0.75</v>
      </c>
      <c r="AF2" s="73">
        <v>0.25</v>
      </c>
      <c r="AG2" s="73">
        <v>0.75</v>
      </c>
      <c r="AH2" s="73">
        <v>0.75</v>
      </c>
      <c r="AI2" s="73">
        <v>0.75</v>
      </c>
      <c r="AJ2" s="73">
        <v>0.75</v>
      </c>
      <c r="AK2" s="73">
        <v>0.75</v>
      </c>
      <c r="AL2" s="73">
        <v>0.65</v>
      </c>
      <c r="AM2" s="73">
        <v>0.65</v>
      </c>
    </row>
    <row r="3" spans="1:39" ht="15" customHeight="1" x14ac:dyDescent="0.25">
      <c r="A3" s="119" t="s">
        <v>48</v>
      </c>
      <c r="B3" s="80">
        <v>1</v>
      </c>
      <c r="C3" s="75">
        <v>0.97</v>
      </c>
      <c r="D3" s="75">
        <v>0.97</v>
      </c>
      <c r="E3" s="75">
        <v>0.9</v>
      </c>
      <c r="F3" s="77">
        <f>4290+11942*C3*$F$2</f>
        <v>12977.805</v>
      </c>
      <c r="G3" s="77">
        <f>4290+11942*$G$2*C3</f>
        <v>7185.9349999999995</v>
      </c>
      <c r="H3" s="77">
        <f>4338+8637*$H$2*C3</f>
        <v>10621.4175</v>
      </c>
      <c r="I3" s="77">
        <f>4386+6415*$I$2*C3</f>
        <v>9052.9124999999985</v>
      </c>
      <c r="J3" s="77">
        <f>4386+6415*$J$2*C3</f>
        <v>5941.6374999999998</v>
      </c>
      <c r="K3" s="77">
        <f>3156+13075*C3*$K$2</f>
        <v>12668.0625</v>
      </c>
      <c r="L3" s="77">
        <f>3156+13075*$L$2*C3</f>
        <v>6326.6875</v>
      </c>
      <c r="M3" s="77">
        <f>3192+9784*C3*$M$2</f>
        <v>10309.86</v>
      </c>
      <c r="N3" s="77">
        <f>3251+6462*$N$2*C3</f>
        <v>7952.1049999999996</v>
      </c>
      <c r="O3" s="77">
        <f>3251+6462*$O$2*C3</f>
        <v>5131.442</v>
      </c>
      <c r="P3" s="77">
        <f>2262+2700*C3*$P$2</f>
        <v>3833.3999999999996</v>
      </c>
      <c r="Q3" s="77">
        <f>1103+1145*C3*$Q$2</f>
        <v>1769.3899999999999</v>
      </c>
      <c r="R3" s="77">
        <f t="shared" ref="R3:R34" si="0">3156+13075*D3*$R$2</f>
        <v>12668.0625</v>
      </c>
      <c r="S3" s="77">
        <f t="shared" ref="S3:S34" si="1">3192+9784*D3*$S$2</f>
        <v>10309.86</v>
      </c>
      <c r="T3" s="77">
        <f t="shared" ref="T3:T34" si="2">3251+6462*D3*$T$2</f>
        <v>7952.1049999999996</v>
      </c>
      <c r="U3" s="77">
        <f>3251+6462*$U$2*D3</f>
        <v>4818.0349999999999</v>
      </c>
      <c r="V3" s="77">
        <f t="shared" ref="V3:V34" si="3">3156+13075*D3*$V$2</f>
        <v>12668.0625</v>
      </c>
      <c r="W3" s="77">
        <f t="shared" ref="W3:W34" si="4">3192+9784*D3*$W$2</f>
        <v>10309.86</v>
      </c>
      <c r="X3" s="77">
        <f t="shared" ref="X3:X34" si="5">3319+4213*$X$2*D3</f>
        <v>6383.9575000000004</v>
      </c>
      <c r="Y3" s="77">
        <f t="shared" ref="Y3:Y34" si="6">3268+5792*$Y$2*D3</f>
        <v>7481.68</v>
      </c>
      <c r="Z3" s="77">
        <f t="shared" ref="Z3:Z34" si="7">3337+3757*$Z$2*D3</f>
        <v>6070.2174999999997</v>
      </c>
      <c r="AA3" s="77">
        <f t="shared" ref="AA3:AA34" si="8">2290+2693*$AA$2*D3</f>
        <v>3987.9364999999998</v>
      </c>
      <c r="AB3" s="77">
        <f t="shared" ref="AB3:AB34" si="9">1724+1668*$AB$2*D3</f>
        <v>2775.674</v>
      </c>
      <c r="AC3" s="77">
        <f t="shared" ref="AC3:AC34" si="10">3156+13075*E3*$R$2</f>
        <v>11981.625</v>
      </c>
      <c r="AD3" s="77">
        <f t="shared" ref="AD3:AD34" si="11">3192+9784*E3*$S$2</f>
        <v>9796.2000000000007</v>
      </c>
      <c r="AE3" s="77">
        <f t="shared" ref="AE3:AE34" si="12">3251+6462*E3*$T$2</f>
        <v>7612.85</v>
      </c>
      <c r="AF3" s="77">
        <f>3251+6462*$AF$2*E3</f>
        <v>4704.95</v>
      </c>
      <c r="AG3" s="77">
        <f t="shared" ref="AG3:AG34" si="13">3156+13075*E3*$V$2</f>
        <v>11981.625</v>
      </c>
      <c r="AH3" s="77">
        <f t="shared" ref="AH3:AH34" si="14">3192+9784*E3*$W$2</f>
        <v>9796.2000000000007</v>
      </c>
      <c r="AI3" s="77">
        <f t="shared" ref="AI3:AI34" si="15">3319+4213*$X$2*E3</f>
        <v>6162.7749999999996</v>
      </c>
      <c r="AJ3" s="77">
        <f t="shared" ref="AJ3:AJ34" si="16">3268+5792*$Y$2*E3</f>
        <v>7177.6</v>
      </c>
      <c r="AK3" s="77">
        <f t="shared" ref="AK3:AK34" si="17">3337+3757*$Z$2*E3</f>
        <v>5872.9750000000004</v>
      </c>
      <c r="AL3" s="77">
        <f t="shared" ref="AL3:AL34" si="18">2290+2693*$AA$2*E3</f>
        <v>3865.4049999999997</v>
      </c>
      <c r="AM3" s="77">
        <f t="shared" ref="AM3:AM34" si="19">1724+1668*$AB$2*E3</f>
        <v>2699.78</v>
      </c>
    </row>
    <row r="4" spans="1:39" x14ac:dyDescent="0.25">
      <c r="A4" s="119" t="s">
        <v>68</v>
      </c>
      <c r="B4" s="80">
        <v>2</v>
      </c>
      <c r="C4" s="75">
        <v>0.94500000000000006</v>
      </c>
      <c r="D4" s="75">
        <v>0.97</v>
      </c>
      <c r="E4" s="75">
        <v>0.91</v>
      </c>
      <c r="F4" s="77">
        <f>4290+11942*C4*$F$2</f>
        <v>12753.8925</v>
      </c>
      <c r="G4" s="77">
        <f t="shared" ref="G4:G67" si="20">4290+11942*$G$2*C4</f>
        <v>7111.2975000000006</v>
      </c>
      <c r="H4" s="77">
        <f>4338+8637*$H$2*C4</f>
        <v>10459.473750000001</v>
      </c>
      <c r="I4" s="77">
        <f>4386+6415*$I$2*C4</f>
        <v>8932.6312500000004</v>
      </c>
      <c r="J4" s="77">
        <f t="shared" ref="J4:J67" si="21">4386+6415*$J$2*C4</f>
        <v>5901.5437499999998</v>
      </c>
      <c r="K4" s="77">
        <f>3156+13075*C4*$K$2</f>
        <v>12422.90625</v>
      </c>
      <c r="L4" s="77">
        <f t="shared" ref="L4:L67" si="22">3156+13075*$L$2*C4</f>
        <v>6244.96875</v>
      </c>
      <c r="M4" s="77">
        <f>3192+9784*C4*$M$2</f>
        <v>10126.41</v>
      </c>
      <c r="N4" s="77">
        <f>3251+6462*$N$2*C4</f>
        <v>7830.9425000000001</v>
      </c>
      <c r="O4" s="77">
        <f t="shared" ref="O4:O67" si="23">3251+6462*$O$2*C4</f>
        <v>5082.9769999999999</v>
      </c>
      <c r="P4" s="77">
        <f>2262+2700*C4*$P$2</f>
        <v>3792.8999999999996</v>
      </c>
      <c r="Q4" s="77">
        <f>1103+1145*C4*$Q$2</f>
        <v>1752.2150000000001</v>
      </c>
      <c r="R4" s="77">
        <f t="shared" si="0"/>
        <v>12668.0625</v>
      </c>
      <c r="S4" s="77">
        <f t="shared" si="1"/>
        <v>10309.86</v>
      </c>
      <c r="T4" s="77">
        <f t="shared" si="2"/>
        <v>7952.1049999999996</v>
      </c>
      <c r="U4" s="77">
        <f t="shared" ref="U4:U67" si="24">3251+6462*$U$2*D4</f>
        <v>4818.0349999999999</v>
      </c>
      <c r="V4" s="77">
        <f t="shared" si="3"/>
        <v>12668.0625</v>
      </c>
      <c r="W4" s="77">
        <f t="shared" si="4"/>
        <v>10309.86</v>
      </c>
      <c r="X4" s="77">
        <f t="shared" si="5"/>
        <v>6383.9575000000004</v>
      </c>
      <c r="Y4" s="77">
        <f t="shared" si="6"/>
        <v>7481.68</v>
      </c>
      <c r="Z4" s="77">
        <f t="shared" si="7"/>
        <v>6070.2174999999997</v>
      </c>
      <c r="AA4" s="77">
        <f t="shared" si="8"/>
        <v>3987.9364999999998</v>
      </c>
      <c r="AB4" s="77">
        <f t="shared" si="9"/>
        <v>2775.674</v>
      </c>
      <c r="AC4" s="77">
        <f t="shared" si="10"/>
        <v>12079.6875</v>
      </c>
      <c r="AD4" s="77">
        <f t="shared" si="11"/>
        <v>9869.58</v>
      </c>
      <c r="AE4" s="77">
        <f t="shared" si="12"/>
        <v>7661.3150000000005</v>
      </c>
      <c r="AF4" s="77">
        <f t="shared" ref="AF4:AF67" si="25">3251+6462*$AF$2*E4</f>
        <v>4721.1049999999996</v>
      </c>
      <c r="AG4" s="77">
        <f t="shared" si="13"/>
        <v>12079.6875</v>
      </c>
      <c r="AH4" s="77">
        <f t="shared" si="14"/>
        <v>9869.58</v>
      </c>
      <c r="AI4" s="77">
        <f t="shared" si="15"/>
        <v>6194.3724999999995</v>
      </c>
      <c r="AJ4" s="77">
        <f t="shared" si="16"/>
        <v>7221.04</v>
      </c>
      <c r="AK4" s="77">
        <f t="shared" si="17"/>
        <v>5901.1525000000001</v>
      </c>
      <c r="AL4" s="77">
        <f t="shared" si="18"/>
        <v>3882.9095000000002</v>
      </c>
      <c r="AM4" s="77">
        <f t="shared" si="19"/>
        <v>2710.6220000000003</v>
      </c>
    </row>
    <row r="5" spans="1:39" x14ac:dyDescent="0.25">
      <c r="A5" s="119" t="s">
        <v>75</v>
      </c>
      <c r="B5" s="80">
        <v>3</v>
      </c>
      <c r="C5" s="75">
        <v>0.94</v>
      </c>
      <c r="D5" s="75">
        <v>0.97</v>
      </c>
      <c r="E5" s="75">
        <v>0.92</v>
      </c>
      <c r="F5" s="77">
        <f t="shared" ref="F5:F34" si="26">4290+11942*C5*$F$2</f>
        <v>12709.11</v>
      </c>
      <c r="G5" s="77">
        <f t="shared" si="20"/>
        <v>7096.37</v>
      </c>
      <c r="H5" s="77">
        <f t="shared" ref="H5:H34" si="27">4338+8637*$H$2*C5</f>
        <v>10427.084999999999</v>
      </c>
      <c r="I5" s="77">
        <f t="shared" ref="I5:I34" si="28">4386+6415*$I$2*C5</f>
        <v>8908.5750000000007</v>
      </c>
      <c r="J5" s="77">
        <f t="shared" si="21"/>
        <v>5893.5249999999996</v>
      </c>
      <c r="K5" s="77">
        <f t="shared" ref="K5:K34" si="29">3156+13075*C5*$K$2</f>
        <v>12373.875</v>
      </c>
      <c r="L5" s="77">
        <f t="shared" si="22"/>
        <v>6228.625</v>
      </c>
      <c r="M5" s="77">
        <f t="shared" ref="M5:M34" si="30">3192+9784*C5*$M$2</f>
        <v>10089.719999999999</v>
      </c>
      <c r="N5" s="77">
        <f t="shared" ref="N5:N34" si="31">3251+6462*$N$2*C5</f>
        <v>7806.71</v>
      </c>
      <c r="O5" s="77">
        <f t="shared" si="23"/>
        <v>5073.2839999999997</v>
      </c>
      <c r="P5" s="77">
        <f t="shared" ref="P5:P34" si="32">2262+2700*C5*$P$2</f>
        <v>3784.8</v>
      </c>
      <c r="Q5" s="77">
        <f t="shared" ref="Q5:Q34" si="33">1103+1145*C5*$Q$2</f>
        <v>1748.78</v>
      </c>
      <c r="R5" s="77">
        <f t="shared" si="0"/>
        <v>12668.0625</v>
      </c>
      <c r="S5" s="77">
        <f t="shared" si="1"/>
        <v>10309.86</v>
      </c>
      <c r="T5" s="77">
        <f t="shared" si="2"/>
        <v>7952.1049999999996</v>
      </c>
      <c r="U5" s="77">
        <f t="shared" si="24"/>
        <v>4818.0349999999999</v>
      </c>
      <c r="V5" s="77">
        <f t="shared" si="3"/>
        <v>12668.0625</v>
      </c>
      <c r="W5" s="77">
        <f t="shared" si="4"/>
        <v>10309.86</v>
      </c>
      <c r="X5" s="77">
        <f t="shared" si="5"/>
        <v>6383.9575000000004</v>
      </c>
      <c r="Y5" s="77">
        <f t="shared" si="6"/>
        <v>7481.68</v>
      </c>
      <c r="Z5" s="77">
        <f t="shared" si="7"/>
        <v>6070.2174999999997</v>
      </c>
      <c r="AA5" s="77">
        <f t="shared" si="8"/>
        <v>3987.9364999999998</v>
      </c>
      <c r="AB5" s="77">
        <f t="shared" si="9"/>
        <v>2775.674</v>
      </c>
      <c r="AC5" s="77">
        <f t="shared" si="10"/>
        <v>12177.75</v>
      </c>
      <c r="AD5" s="77">
        <f t="shared" si="11"/>
        <v>9942.9600000000009</v>
      </c>
      <c r="AE5" s="77">
        <f t="shared" si="12"/>
        <v>7709.78</v>
      </c>
      <c r="AF5" s="77">
        <f t="shared" si="25"/>
        <v>4737.26</v>
      </c>
      <c r="AG5" s="77">
        <f t="shared" si="13"/>
        <v>12177.75</v>
      </c>
      <c r="AH5" s="77">
        <f t="shared" si="14"/>
        <v>9942.9600000000009</v>
      </c>
      <c r="AI5" s="77">
        <f t="shared" si="15"/>
        <v>6225.97</v>
      </c>
      <c r="AJ5" s="77">
        <f t="shared" si="16"/>
        <v>7264.48</v>
      </c>
      <c r="AK5" s="77">
        <f t="shared" si="17"/>
        <v>5929.33</v>
      </c>
      <c r="AL5" s="77">
        <f t="shared" si="18"/>
        <v>3900.4140000000002</v>
      </c>
      <c r="AM5" s="77">
        <f t="shared" si="19"/>
        <v>2721.4639999999999</v>
      </c>
    </row>
    <row r="6" spans="1:39" x14ac:dyDescent="0.25">
      <c r="A6" s="119" t="s">
        <v>69</v>
      </c>
      <c r="B6" s="80">
        <v>4</v>
      </c>
      <c r="C6" s="75">
        <v>0.96</v>
      </c>
      <c r="D6" s="75">
        <v>0.97</v>
      </c>
      <c r="E6" s="75">
        <v>0.9</v>
      </c>
      <c r="F6" s="77">
        <f t="shared" si="26"/>
        <v>12888.24</v>
      </c>
      <c r="G6" s="77">
        <f t="shared" si="20"/>
        <v>7156.08</v>
      </c>
      <c r="H6" s="77">
        <f t="shared" si="27"/>
        <v>10556.64</v>
      </c>
      <c r="I6" s="77">
        <f t="shared" si="28"/>
        <v>9004.7999999999993</v>
      </c>
      <c r="J6" s="77">
        <f t="shared" si="21"/>
        <v>5925.6</v>
      </c>
      <c r="K6" s="77">
        <f t="shared" si="29"/>
        <v>12570</v>
      </c>
      <c r="L6" s="77">
        <f t="shared" si="22"/>
        <v>6294</v>
      </c>
      <c r="M6" s="77">
        <f t="shared" si="30"/>
        <v>10236.48</v>
      </c>
      <c r="N6" s="77">
        <f t="shared" si="31"/>
        <v>7903.6399999999994</v>
      </c>
      <c r="O6" s="77">
        <f t="shared" si="23"/>
        <v>5112.0559999999996</v>
      </c>
      <c r="P6" s="77">
        <f t="shared" si="32"/>
        <v>3817.2</v>
      </c>
      <c r="Q6" s="77">
        <f t="shared" si="33"/>
        <v>1762.52</v>
      </c>
      <c r="R6" s="77">
        <f t="shared" si="0"/>
        <v>12668.0625</v>
      </c>
      <c r="S6" s="77">
        <f t="shared" si="1"/>
        <v>10309.86</v>
      </c>
      <c r="T6" s="77">
        <f t="shared" si="2"/>
        <v>7952.1049999999996</v>
      </c>
      <c r="U6" s="77">
        <f t="shared" si="24"/>
        <v>4818.0349999999999</v>
      </c>
      <c r="V6" s="77">
        <f t="shared" si="3"/>
        <v>12668.0625</v>
      </c>
      <c r="W6" s="77">
        <f t="shared" si="4"/>
        <v>10309.86</v>
      </c>
      <c r="X6" s="77">
        <f t="shared" si="5"/>
        <v>6383.9575000000004</v>
      </c>
      <c r="Y6" s="77">
        <f t="shared" si="6"/>
        <v>7481.68</v>
      </c>
      <c r="Z6" s="77">
        <f t="shared" si="7"/>
        <v>6070.2174999999997</v>
      </c>
      <c r="AA6" s="77">
        <f t="shared" si="8"/>
        <v>3987.9364999999998</v>
      </c>
      <c r="AB6" s="77">
        <f t="shared" si="9"/>
        <v>2775.674</v>
      </c>
      <c r="AC6" s="77">
        <f t="shared" si="10"/>
        <v>11981.625</v>
      </c>
      <c r="AD6" s="77">
        <f t="shared" si="11"/>
        <v>9796.2000000000007</v>
      </c>
      <c r="AE6" s="77">
        <f t="shared" si="12"/>
        <v>7612.85</v>
      </c>
      <c r="AF6" s="77">
        <f t="shared" si="25"/>
        <v>4704.95</v>
      </c>
      <c r="AG6" s="77">
        <f t="shared" si="13"/>
        <v>11981.625</v>
      </c>
      <c r="AH6" s="77">
        <f t="shared" si="14"/>
        <v>9796.2000000000007</v>
      </c>
      <c r="AI6" s="77">
        <f t="shared" si="15"/>
        <v>6162.7749999999996</v>
      </c>
      <c r="AJ6" s="77">
        <f t="shared" si="16"/>
        <v>7177.6</v>
      </c>
      <c r="AK6" s="77">
        <f t="shared" si="17"/>
        <v>5872.9750000000004</v>
      </c>
      <c r="AL6" s="77">
        <f t="shared" si="18"/>
        <v>3865.4049999999997</v>
      </c>
      <c r="AM6" s="77">
        <f t="shared" si="19"/>
        <v>2699.78</v>
      </c>
    </row>
    <row r="7" spans="1:39" x14ac:dyDescent="0.25">
      <c r="A7" s="119" t="s">
        <v>81</v>
      </c>
      <c r="B7" s="80">
        <v>5</v>
      </c>
      <c r="C7" s="75">
        <v>0.91500000000000004</v>
      </c>
      <c r="D7" s="75">
        <v>0.97</v>
      </c>
      <c r="E7" s="75">
        <v>0.94</v>
      </c>
      <c r="F7" s="77">
        <f t="shared" si="26"/>
        <v>12485.1975</v>
      </c>
      <c r="G7" s="77">
        <f t="shared" si="20"/>
        <v>7021.7325000000001</v>
      </c>
      <c r="H7" s="77">
        <f t="shared" si="27"/>
        <v>10265.141250000001</v>
      </c>
      <c r="I7" s="77">
        <f t="shared" si="28"/>
        <v>8788.2937500000007</v>
      </c>
      <c r="J7" s="77">
        <f t="shared" si="21"/>
        <v>5853.4312499999996</v>
      </c>
      <c r="K7" s="77">
        <f t="shared" si="29"/>
        <v>12128.71875</v>
      </c>
      <c r="L7" s="77">
        <f t="shared" si="22"/>
        <v>6146.90625</v>
      </c>
      <c r="M7" s="77">
        <f t="shared" si="30"/>
        <v>9906.27</v>
      </c>
      <c r="N7" s="77">
        <f t="shared" si="31"/>
        <v>7685.5475000000006</v>
      </c>
      <c r="O7" s="77">
        <f t="shared" si="23"/>
        <v>5024.8189999999995</v>
      </c>
      <c r="P7" s="77">
        <f t="shared" si="32"/>
        <v>3744.3</v>
      </c>
      <c r="Q7" s="77">
        <f t="shared" si="33"/>
        <v>1731.605</v>
      </c>
      <c r="R7" s="77">
        <f t="shared" si="0"/>
        <v>12668.0625</v>
      </c>
      <c r="S7" s="77">
        <f t="shared" si="1"/>
        <v>10309.86</v>
      </c>
      <c r="T7" s="77">
        <f t="shared" si="2"/>
        <v>7952.1049999999996</v>
      </c>
      <c r="U7" s="77">
        <f t="shared" si="24"/>
        <v>4818.0349999999999</v>
      </c>
      <c r="V7" s="77">
        <f t="shared" si="3"/>
        <v>12668.0625</v>
      </c>
      <c r="W7" s="77">
        <f t="shared" si="4"/>
        <v>10309.86</v>
      </c>
      <c r="X7" s="77">
        <f t="shared" si="5"/>
        <v>6383.9575000000004</v>
      </c>
      <c r="Y7" s="77">
        <f t="shared" si="6"/>
        <v>7481.68</v>
      </c>
      <c r="Z7" s="77">
        <f t="shared" si="7"/>
        <v>6070.2174999999997</v>
      </c>
      <c r="AA7" s="77">
        <f t="shared" si="8"/>
        <v>3987.9364999999998</v>
      </c>
      <c r="AB7" s="77">
        <f t="shared" si="9"/>
        <v>2775.674</v>
      </c>
      <c r="AC7" s="77">
        <f t="shared" si="10"/>
        <v>12373.875</v>
      </c>
      <c r="AD7" s="77">
        <f t="shared" si="11"/>
        <v>10089.719999999999</v>
      </c>
      <c r="AE7" s="77">
        <f t="shared" si="12"/>
        <v>7806.71</v>
      </c>
      <c r="AF7" s="77">
        <f t="shared" si="25"/>
        <v>4769.57</v>
      </c>
      <c r="AG7" s="77">
        <f t="shared" si="13"/>
        <v>12373.875</v>
      </c>
      <c r="AH7" s="77">
        <f t="shared" si="14"/>
        <v>10089.719999999999</v>
      </c>
      <c r="AI7" s="77">
        <f t="shared" si="15"/>
        <v>6289.165</v>
      </c>
      <c r="AJ7" s="77">
        <f t="shared" si="16"/>
        <v>7351.36</v>
      </c>
      <c r="AK7" s="77">
        <f t="shared" si="17"/>
        <v>5985.6849999999995</v>
      </c>
      <c r="AL7" s="77">
        <f t="shared" si="18"/>
        <v>3935.4229999999998</v>
      </c>
      <c r="AM7" s="77">
        <f t="shared" si="19"/>
        <v>2743.1480000000001</v>
      </c>
    </row>
    <row r="8" spans="1:39" x14ac:dyDescent="0.25">
      <c r="A8" s="119" t="s">
        <v>49</v>
      </c>
      <c r="B8" s="80">
        <v>6</v>
      </c>
      <c r="C8" s="75">
        <v>0.96</v>
      </c>
      <c r="D8" s="75">
        <v>0.96</v>
      </c>
      <c r="E8" s="75">
        <v>0.87</v>
      </c>
      <c r="F8" s="77">
        <f t="shared" si="26"/>
        <v>12888.24</v>
      </c>
      <c r="G8" s="77">
        <f t="shared" si="20"/>
        <v>7156.08</v>
      </c>
      <c r="H8" s="77">
        <f t="shared" si="27"/>
        <v>10556.64</v>
      </c>
      <c r="I8" s="77">
        <f t="shared" si="28"/>
        <v>9004.7999999999993</v>
      </c>
      <c r="J8" s="77">
        <f t="shared" si="21"/>
        <v>5925.6</v>
      </c>
      <c r="K8" s="77">
        <f t="shared" si="29"/>
        <v>12570</v>
      </c>
      <c r="L8" s="77">
        <f t="shared" si="22"/>
        <v>6294</v>
      </c>
      <c r="M8" s="77">
        <f t="shared" si="30"/>
        <v>10236.48</v>
      </c>
      <c r="N8" s="77">
        <f t="shared" si="31"/>
        <v>7903.6399999999994</v>
      </c>
      <c r="O8" s="77">
        <f t="shared" si="23"/>
        <v>5112.0559999999996</v>
      </c>
      <c r="P8" s="77">
        <f t="shared" si="32"/>
        <v>3817.2</v>
      </c>
      <c r="Q8" s="77">
        <f t="shared" si="33"/>
        <v>1762.52</v>
      </c>
      <c r="R8" s="77">
        <f t="shared" si="0"/>
        <v>12570</v>
      </c>
      <c r="S8" s="77">
        <f t="shared" si="1"/>
        <v>10236.48</v>
      </c>
      <c r="T8" s="77">
        <f t="shared" si="2"/>
        <v>7903.6399999999994</v>
      </c>
      <c r="U8" s="77">
        <f t="shared" si="24"/>
        <v>4801.88</v>
      </c>
      <c r="V8" s="77">
        <f t="shared" si="3"/>
        <v>12570</v>
      </c>
      <c r="W8" s="77">
        <f t="shared" si="4"/>
        <v>10236.48</v>
      </c>
      <c r="X8" s="77">
        <f t="shared" si="5"/>
        <v>6352.36</v>
      </c>
      <c r="Y8" s="77">
        <f t="shared" si="6"/>
        <v>7438.24</v>
      </c>
      <c r="Z8" s="77">
        <f t="shared" si="7"/>
        <v>6042.04</v>
      </c>
      <c r="AA8" s="77">
        <f t="shared" si="8"/>
        <v>3970.4319999999998</v>
      </c>
      <c r="AB8" s="77">
        <f t="shared" si="9"/>
        <v>2764.8320000000003</v>
      </c>
      <c r="AC8" s="77">
        <f t="shared" si="10"/>
        <v>11687.4375</v>
      </c>
      <c r="AD8" s="77">
        <f t="shared" si="11"/>
        <v>9576.06</v>
      </c>
      <c r="AE8" s="77">
        <f t="shared" si="12"/>
        <v>7467.4549999999999</v>
      </c>
      <c r="AF8" s="77">
        <f t="shared" si="25"/>
        <v>4656.4849999999997</v>
      </c>
      <c r="AG8" s="77">
        <f t="shared" si="13"/>
        <v>11687.4375</v>
      </c>
      <c r="AH8" s="77">
        <f t="shared" si="14"/>
        <v>9576.06</v>
      </c>
      <c r="AI8" s="77">
        <f t="shared" si="15"/>
        <v>6067.9825000000001</v>
      </c>
      <c r="AJ8" s="77">
        <f t="shared" si="16"/>
        <v>7047.2800000000007</v>
      </c>
      <c r="AK8" s="77">
        <f t="shared" si="17"/>
        <v>5788.4425000000001</v>
      </c>
      <c r="AL8" s="77">
        <f t="shared" si="18"/>
        <v>3812.8914999999997</v>
      </c>
      <c r="AM8" s="77">
        <f t="shared" si="19"/>
        <v>2667.2539999999999</v>
      </c>
    </row>
    <row r="9" spans="1:39" x14ac:dyDescent="0.25">
      <c r="A9" s="119" t="s">
        <v>50</v>
      </c>
      <c r="B9" s="80">
        <v>7</v>
      </c>
      <c r="C9" s="75">
        <v>0.96</v>
      </c>
      <c r="D9" s="75">
        <v>0.96</v>
      </c>
      <c r="E9" s="75">
        <v>0.89</v>
      </c>
      <c r="F9" s="77">
        <f t="shared" si="26"/>
        <v>12888.24</v>
      </c>
      <c r="G9" s="77">
        <f t="shared" si="20"/>
        <v>7156.08</v>
      </c>
      <c r="H9" s="77">
        <f t="shared" si="27"/>
        <v>10556.64</v>
      </c>
      <c r="I9" s="77">
        <f t="shared" si="28"/>
        <v>9004.7999999999993</v>
      </c>
      <c r="J9" s="77">
        <f t="shared" si="21"/>
        <v>5925.6</v>
      </c>
      <c r="K9" s="77">
        <f t="shared" si="29"/>
        <v>12570</v>
      </c>
      <c r="L9" s="77">
        <f t="shared" si="22"/>
        <v>6294</v>
      </c>
      <c r="M9" s="77">
        <f t="shared" si="30"/>
        <v>10236.48</v>
      </c>
      <c r="N9" s="77">
        <f t="shared" si="31"/>
        <v>7903.6399999999994</v>
      </c>
      <c r="O9" s="77">
        <f t="shared" si="23"/>
        <v>5112.0559999999996</v>
      </c>
      <c r="P9" s="77">
        <f t="shared" si="32"/>
        <v>3817.2</v>
      </c>
      <c r="Q9" s="77">
        <f t="shared" si="33"/>
        <v>1762.52</v>
      </c>
      <c r="R9" s="77">
        <f t="shared" si="0"/>
        <v>12570</v>
      </c>
      <c r="S9" s="77">
        <f t="shared" si="1"/>
        <v>10236.48</v>
      </c>
      <c r="T9" s="77">
        <f t="shared" si="2"/>
        <v>7903.6399999999994</v>
      </c>
      <c r="U9" s="77">
        <f t="shared" si="24"/>
        <v>4801.88</v>
      </c>
      <c r="V9" s="77">
        <f t="shared" si="3"/>
        <v>12570</v>
      </c>
      <c r="W9" s="77">
        <f t="shared" si="4"/>
        <v>10236.48</v>
      </c>
      <c r="X9" s="77">
        <f t="shared" si="5"/>
        <v>6352.36</v>
      </c>
      <c r="Y9" s="77">
        <f t="shared" si="6"/>
        <v>7438.24</v>
      </c>
      <c r="Z9" s="77">
        <f t="shared" si="7"/>
        <v>6042.04</v>
      </c>
      <c r="AA9" s="77">
        <f t="shared" si="8"/>
        <v>3970.4319999999998</v>
      </c>
      <c r="AB9" s="77">
        <f t="shared" si="9"/>
        <v>2764.8320000000003</v>
      </c>
      <c r="AC9" s="77">
        <f t="shared" si="10"/>
        <v>11883.5625</v>
      </c>
      <c r="AD9" s="77">
        <f t="shared" si="11"/>
        <v>9722.82</v>
      </c>
      <c r="AE9" s="77">
        <f t="shared" si="12"/>
        <v>7564.3850000000002</v>
      </c>
      <c r="AF9" s="77">
        <f t="shared" si="25"/>
        <v>4688.7950000000001</v>
      </c>
      <c r="AG9" s="77">
        <f t="shared" si="13"/>
        <v>11883.5625</v>
      </c>
      <c r="AH9" s="77">
        <f t="shared" si="14"/>
        <v>9722.82</v>
      </c>
      <c r="AI9" s="77">
        <f t="shared" si="15"/>
        <v>6131.1774999999998</v>
      </c>
      <c r="AJ9" s="77">
        <f t="shared" si="16"/>
        <v>7134.16</v>
      </c>
      <c r="AK9" s="77">
        <f t="shared" si="17"/>
        <v>5844.7975000000006</v>
      </c>
      <c r="AL9" s="77">
        <f t="shared" si="18"/>
        <v>3847.9004999999997</v>
      </c>
      <c r="AM9" s="77">
        <f t="shared" si="19"/>
        <v>2688.9380000000001</v>
      </c>
    </row>
    <row r="10" spans="1:39" x14ac:dyDescent="0.25">
      <c r="A10" s="119" t="s">
        <v>115</v>
      </c>
      <c r="B10" s="80">
        <v>8</v>
      </c>
      <c r="C10" s="75">
        <v>0.87</v>
      </c>
      <c r="D10" s="75">
        <v>0.95</v>
      </c>
      <c r="E10" s="75">
        <v>0.93</v>
      </c>
      <c r="F10" s="77">
        <f t="shared" si="26"/>
        <v>12082.154999999999</v>
      </c>
      <c r="G10" s="77">
        <f t="shared" si="20"/>
        <v>6887.3850000000002</v>
      </c>
      <c r="H10" s="77">
        <f t="shared" si="27"/>
        <v>9973.6424999999999</v>
      </c>
      <c r="I10" s="77">
        <f t="shared" si="28"/>
        <v>8571.7875000000004</v>
      </c>
      <c r="J10" s="77">
        <f t="shared" si="21"/>
        <v>5781.2624999999998</v>
      </c>
      <c r="K10" s="77">
        <f t="shared" si="29"/>
        <v>11687.4375</v>
      </c>
      <c r="L10" s="77">
        <f t="shared" si="22"/>
        <v>5999.8125</v>
      </c>
      <c r="M10" s="77">
        <f t="shared" si="30"/>
        <v>9576.06</v>
      </c>
      <c r="N10" s="77">
        <f t="shared" si="31"/>
        <v>7467.4549999999999</v>
      </c>
      <c r="O10" s="77">
        <f t="shared" si="23"/>
        <v>4937.5820000000003</v>
      </c>
      <c r="P10" s="77">
        <f t="shared" si="32"/>
        <v>3671.3999999999996</v>
      </c>
      <c r="Q10" s="77">
        <f t="shared" si="33"/>
        <v>1700.69</v>
      </c>
      <c r="R10" s="77">
        <f t="shared" si="0"/>
        <v>12471.9375</v>
      </c>
      <c r="S10" s="77">
        <f t="shared" si="1"/>
        <v>10163.099999999999</v>
      </c>
      <c r="T10" s="77">
        <f t="shared" si="2"/>
        <v>7855.1749999999993</v>
      </c>
      <c r="U10" s="77">
        <f t="shared" si="24"/>
        <v>4785.7250000000004</v>
      </c>
      <c r="V10" s="77">
        <f t="shared" si="3"/>
        <v>12471.9375</v>
      </c>
      <c r="W10" s="77">
        <f t="shared" si="4"/>
        <v>10163.099999999999</v>
      </c>
      <c r="X10" s="77">
        <f t="shared" si="5"/>
        <v>6320.7624999999998</v>
      </c>
      <c r="Y10" s="77">
        <f t="shared" si="6"/>
        <v>7394.8</v>
      </c>
      <c r="Z10" s="77">
        <f t="shared" si="7"/>
        <v>6013.8624999999993</v>
      </c>
      <c r="AA10" s="77">
        <f t="shared" si="8"/>
        <v>3952.9274999999998</v>
      </c>
      <c r="AB10" s="77">
        <f t="shared" si="9"/>
        <v>2753.99</v>
      </c>
      <c r="AC10" s="77">
        <f t="shared" si="10"/>
        <v>12275.8125</v>
      </c>
      <c r="AD10" s="77">
        <f t="shared" si="11"/>
        <v>10016.34</v>
      </c>
      <c r="AE10" s="77">
        <f t="shared" si="12"/>
        <v>7758.2450000000008</v>
      </c>
      <c r="AF10" s="77">
        <f t="shared" si="25"/>
        <v>4753.415</v>
      </c>
      <c r="AG10" s="77">
        <f t="shared" si="13"/>
        <v>12275.8125</v>
      </c>
      <c r="AH10" s="77">
        <f t="shared" si="14"/>
        <v>10016.34</v>
      </c>
      <c r="AI10" s="77">
        <f t="shared" si="15"/>
        <v>6257.5675000000001</v>
      </c>
      <c r="AJ10" s="77">
        <f t="shared" si="16"/>
        <v>7307.92</v>
      </c>
      <c r="AK10" s="77">
        <f t="shared" si="17"/>
        <v>5957.5074999999997</v>
      </c>
      <c r="AL10" s="77">
        <f t="shared" si="18"/>
        <v>3917.9185000000002</v>
      </c>
      <c r="AM10" s="77">
        <f t="shared" si="19"/>
        <v>2732.306</v>
      </c>
    </row>
    <row r="11" spans="1:39" x14ac:dyDescent="0.25">
      <c r="A11" s="119" t="s">
        <v>64</v>
      </c>
      <c r="B11" s="80">
        <v>9</v>
      </c>
      <c r="C11" s="75">
        <v>0.95</v>
      </c>
      <c r="D11" s="75">
        <v>0.97</v>
      </c>
      <c r="E11" s="75">
        <v>0.92</v>
      </c>
      <c r="F11" s="77">
        <f t="shared" si="26"/>
        <v>12798.674999999999</v>
      </c>
      <c r="G11" s="77">
        <f t="shared" si="20"/>
        <v>7126.2250000000004</v>
      </c>
      <c r="H11" s="77">
        <f t="shared" si="27"/>
        <v>10491.862499999999</v>
      </c>
      <c r="I11" s="77">
        <f t="shared" si="28"/>
        <v>8956.6875</v>
      </c>
      <c r="J11" s="77">
        <f t="shared" si="21"/>
        <v>5909.5625</v>
      </c>
      <c r="K11" s="77">
        <f t="shared" si="29"/>
        <v>12471.9375</v>
      </c>
      <c r="L11" s="77">
        <f t="shared" si="22"/>
        <v>6261.3125</v>
      </c>
      <c r="M11" s="77">
        <f t="shared" si="30"/>
        <v>10163.099999999999</v>
      </c>
      <c r="N11" s="77">
        <f t="shared" si="31"/>
        <v>7855.1750000000002</v>
      </c>
      <c r="O11" s="77">
        <f t="shared" si="23"/>
        <v>5092.67</v>
      </c>
      <c r="P11" s="77">
        <f t="shared" si="32"/>
        <v>3801</v>
      </c>
      <c r="Q11" s="77">
        <f t="shared" si="33"/>
        <v>1755.65</v>
      </c>
      <c r="R11" s="77">
        <f t="shared" si="0"/>
        <v>12668.0625</v>
      </c>
      <c r="S11" s="77">
        <f t="shared" si="1"/>
        <v>10309.86</v>
      </c>
      <c r="T11" s="77">
        <f t="shared" si="2"/>
        <v>7952.1049999999996</v>
      </c>
      <c r="U11" s="77">
        <f t="shared" si="24"/>
        <v>4818.0349999999999</v>
      </c>
      <c r="V11" s="77">
        <f t="shared" si="3"/>
        <v>12668.0625</v>
      </c>
      <c r="W11" s="77">
        <f t="shared" si="4"/>
        <v>10309.86</v>
      </c>
      <c r="X11" s="77">
        <f t="shared" si="5"/>
        <v>6383.9575000000004</v>
      </c>
      <c r="Y11" s="77">
        <f t="shared" si="6"/>
        <v>7481.68</v>
      </c>
      <c r="Z11" s="77">
        <f t="shared" si="7"/>
        <v>6070.2174999999997</v>
      </c>
      <c r="AA11" s="77">
        <f t="shared" si="8"/>
        <v>3987.9364999999998</v>
      </c>
      <c r="AB11" s="77">
        <f t="shared" si="9"/>
        <v>2775.674</v>
      </c>
      <c r="AC11" s="77">
        <f t="shared" si="10"/>
        <v>12177.75</v>
      </c>
      <c r="AD11" s="77">
        <f t="shared" si="11"/>
        <v>9942.9600000000009</v>
      </c>
      <c r="AE11" s="77">
        <f t="shared" si="12"/>
        <v>7709.78</v>
      </c>
      <c r="AF11" s="77">
        <f t="shared" si="25"/>
        <v>4737.26</v>
      </c>
      <c r="AG11" s="77">
        <f t="shared" si="13"/>
        <v>12177.75</v>
      </c>
      <c r="AH11" s="77">
        <f t="shared" si="14"/>
        <v>9942.9600000000009</v>
      </c>
      <c r="AI11" s="77">
        <f t="shared" si="15"/>
        <v>6225.97</v>
      </c>
      <c r="AJ11" s="77">
        <f t="shared" si="16"/>
        <v>7264.48</v>
      </c>
      <c r="AK11" s="77">
        <f t="shared" si="17"/>
        <v>5929.33</v>
      </c>
      <c r="AL11" s="77">
        <f t="shared" si="18"/>
        <v>3900.4140000000002</v>
      </c>
      <c r="AM11" s="77">
        <f t="shared" si="19"/>
        <v>2721.4639999999999</v>
      </c>
    </row>
    <row r="12" spans="1:39" x14ac:dyDescent="0.25">
      <c r="A12" s="119" t="s">
        <v>58</v>
      </c>
      <c r="B12" s="80">
        <v>10</v>
      </c>
      <c r="C12" s="75">
        <v>0.97</v>
      </c>
      <c r="D12" s="75">
        <v>0.97</v>
      </c>
      <c r="E12" s="75">
        <v>0.92</v>
      </c>
      <c r="F12" s="77">
        <f t="shared" si="26"/>
        <v>12977.805</v>
      </c>
      <c r="G12" s="77">
        <f t="shared" si="20"/>
        <v>7185.9349999999995</v>
      </c>
      <c r="H12" s="77">
        <f t="shared" si="27"/>
        <v>10621.4175</v>
      </c>
      <c r="I12" s="77">
        <f t="shared" si="28"/>
        <v>9052.9124999999985</v>
      </c>
      <c r="J12" s="77">
        <f t="shared" si="21"/>
        <v>5941.6374999999998</v>
      </c>
      <c r="K12" s="77">
        <f t="shared" si="29"/>
        <v>12668.0625</v>
      </c>
      <c r="L12" s="77">
        <f t="shared" si="22"/>
        <v>6326.6875</v>
      </c>
      <c r="M12" s="77">
        <f t="shared" si="30"/>
        <v>10309.86</v>
      </c>
      <c r="N12" s="77">
        <f t="shared" si="31"/>
        <v>7952.1049999999996</v>
      </c>
      <c r="O12" s="77">
        <f t="shared" si="23"/>
        <v>5131.442</v>
      </c>
      <c r="P12" s="77">
        <f t="shared" si="32"/>
        <v>3833.3999999999996</v>
      </c>
      <c r="Q12" s="77">
        <f t="shared" si="33"/>
        <v>1769.3899999999999</v>
      </c>
      <c r="R12" s="77">
        <f t="shared" si="0"/>
        <v>12668.0625</v>
      </c>
      <c r="S12" s="77">
        <f t="shared" si="1"/>
        <v>10309.86</v>
      </c>
      <c r="T12" s="77">
        <f t="shared" si="2"/>
        <v>7952.1049999999996</v>
      </c>
      <c r="U12" s="77">
        <f t="shared" si="24"/>
        <v>4818.0349999999999</v>
      </c>
      <c r="V12" s="77">
        <f t="shared" si="3"/>
        <v>12668.0625</v>
      </c>
      <c r="W12" s="77">
        <f t="shared" si="4"/>
        <v>10309.86</v>
      </c>
      <c r="X12" s="77">
        <f t="shared" si="5"/>
        <v>6383.9575000000004</v>
      </c>
      <c r="Y12" s="77">
        <f t="shared" si="6"/>
        <v>7481.68</v>
      </c>
      <c r="Z12" s="77">
        <f t="shared" si="7"/>
        <v>6070.2174999999997</v>
      </c>
      <c r="AA12" s="77">
        <f t="shared" si="8"/>
        <v>3987.9364999999998</v>
      </c>
      <c r="AB12" s="77">
        <f t="shared" si="9"/>
        <v>2775.674</v>
      </c>
      <c r="AC12" s="77">
        <f t="shared" si="10"/>
        <v>12177.75</v>
      </c>
      <c r="AD12" s="77">
        <f t="shared" si="11"/>
        <v>9942.9600000000009</v>
      </c>
      <c r="AE12" s="77">
        <f t="shared" si="12"/>
        <v>7709.78</v>
      </c>
      <c r="AF12" s="77">
        <f t="shared" si="25"/>
        <v>4737.26</v>
      </c>
      <c r="AG12" s="77">
        <f t="shared" si="13"/>
        <v>12177.75</v>
      </c>
      <c r="AH12" s="77">
        <f t="shared" si="14"/>
        <v>9942.9600000000009</v>
      </c>
      <c r="AI12" s="77">
        <f t="shared" si="15"/>
        <v>6225.97</v>
      </c>
      <c r="AJ12" s="77">
        <f t="shared" si="16"/>
        <v>7264.48</v>
      </c>
      <c r="AK12" s="77">
        <f t="shared" si="17"/>
        <v>5929.33</v>
      </c>
      <c r="AL12" s="77">
        <f t="shared" si="18"/>
        <v>3900.4140000000002</v>
      </c>
      <c r="AM12" s="77">
        <f t="shared" si="19"/>
        <v>2721.4639999999999</v>
      </c>
    </row>
    <row r="13" spans="1:39" x14ac:dyDescent="0.25">
      <c r="A13" s="119" t="s">
        <v>118</v>
      </c>
      <c r="B13" s="80">
        <v>11</v>
      </c>
      <c r="C13" s="75">
        <v>0.87</v>
      </c>
      <c r="D13" s="75">
        <v>0.96</v>
      </c>
      <c r="E13" s="75">
        <v>0.92</v>
      </c>
      <c r="F13" s="77">
        <f t="shared" si="26"/>
        <v>12082.154999999999</v>
      </c>
      <c r="G13" s="77">
        <f t="shared" si="20"/>
        <v>6887.3850000000002</v>
      </c>
      <c r="H13" s="77">
        <f t="shared" si="27"/>
        <v>9973.6424999999999</v>
      </c>
      <c r="I13" s="77">
        <f t="shared" si="28"/>
        <v>8571.7875000000004</v>
      </c>
      <c r="J13" s="77">
        <f t="shared" si="21"/>
        <v>5781.2624999999998</v>
      </c>
      <c r="K13" s="77">
        <f t="shared" si="29"/>
        <v>11687.4375</v>
      </c>
      <c r="L13" s="77">
        <f t="shared" si="22"/>
        <v>5999.8125</v>
      </c>
      <c r="M13" s="77">
        <f t="shared" si="30"/>
        <v>9576.06</v>
      </c>
      <c r="N13" s="77">
        <f t="shared" si="31"/>
        <v>7467.4549999999999</v>
      </c>
      <c r="O13" s="77">
        <f t="shared" si="23"/>
        <v>4937.5820000000003</v>
      </c>
      <c r="P13" s="77">
        <f t="shared" si="32"/>
        <v>3671.3999999999996</v>
      </c>
      <c r="Q13" s="77">
        <f t="shared" si="33"/>
        <v>1700.69</v>
      </c>
      <c r="R13" s="77">
        <f t="shared" si="0"/>
        <v>12570</v>
      </c>
      <c r="S13" s="77">
        <f t="shared" si="1"/>
        <v>10236.48</v>
      </c>
      <c r="T13" s="77">
        <f t="shared" si="2"/>
        <v>7903.6399999999994</v>
      </c>
      <c r="U13" s="77">
        <f t="shared" si="24"/>
        <v>4801.88</v>
      </c>
      <c r="V13" s="77">
        <f t="shared" si="3"/>
        <v>12570</v>
      </c>
      <c r="W13" s="77">
        <f t="shared" si="4"/>
        <v>10236.48</v>
      </c>
      <c r="X13" s="77">
        <f t="shared" si="5"/>
        <v>6352.36</v>
      </c>
      <c r="Y13" s="77">
        <f t="shared" si="6"/>
        <v>7438.24</v>
      </c>
      <c r="Z13" s="77">
        <f t="shared" si="7"/>
        <v>6042.04</v>
      </c>
      <c r="AA13" s="77">
        <f t="shared" si="8"/>
        <v>3970.4319999999998</v>
      </c>
      <c r="AB13" s="77">
        <f t="shared" si="9"/>
        <v>2764.8320000000003</v>
      </c>
      <c r="AC13" s="77">
        <f t="shared" si="10"/>
        <v>12177.75</v>
      </c>
      <c r="AD13" s="77">
        <f t="shared" si="11"/>
        <v>9942.9600000000009</v>
      </c>
      <c r="AE13" s="77">
        <f t="shared" si="12"/>
        <v>7709.78</v>
      </c>
      <c r="AF13" s="77">
        <f t="shared" si="25"/>
        <v>4737.26</v>
      </c>
      <c r="AG13" s="77">
        <f t="shared" si="13"/>
        <v>12177.75</v>
      </c>
      <c r="AH13" s="77">
        <f t="shared" si="14"/>
        <v>9942.9600000000009</v>
      </c>
      <c r="AI13" s="77">
        <f t="shared" si="15"/>
        <v>6225.97</v>
      </c>
      <c r="AJ13" s="77">
        <f t="shared" si="16"/>
        <v>7264.48</v>
      </c>
      <c r="AK13" s="77">
        <f t="shared" si="17"/>
        <v>5929.33</v>
      </c>
      <c r="AL13" s="77">
        <f t="shared" si="18"/>
        <v>3900.4140000000002</v>
      </c>
      <c r="AM13" s="77">
        <f t="shared" si="19"/>
        <v>2721.4639999999999</v>
      </c>
    </row>
    <row r="14" spans="1:39" x14ac:dyDescent="0.25">
      <c r="A14" s="119" t="s">
        <v>82</v>
      </c>
      <c r="B14" s="80">
        <v>12</v>
      </c>
      <c r="C14" s="75">
        <v>0.92999999999999994</v>
      </c>
      <c r="D14" s="75">
        <v>0.98</v>
      </c>
      <c r="E14" s="75">
        <v>0.92</v>
      </c>
      <c r="F14" s="77">
        <f t="shared" si="26"/>
        <v>12619.545</v>
      </c>
      <c r="G14" s="77">
        <f t="shared" si="20"/>
        <v>7066.5149999999994</v>
      </c>
      <c r="H14" s="77">
        <f t="shared" si="27"/>
        <v>10362.307499999999</v>
      </c>
      <c r="I14" s="77">
        <f t="shared" si="28"/>
        <v>8860.4624999999996</v>
      </c>
      <c r="J14" s="77">
        <f t="shared" si="21"/>
        <v>5877.4875000000002</v>
      </c>
      <c r="K14" s="77">
        <f t="shared" si="29"/>
        <v>12275.8125</v>
      </c>
      <c r="L14" s="77">
        <f t="shared" si="22"/>
        <v>6195.9375</v>
      </c>
      <c r="M14" s="77">
        <f t="shared" si="30"/>
        <v>10016.34</v>
      </c>
      <c r="N14" s="77">
        <f t="shared" si="31"/>
        <v>7758.2449999999999</v>
      </c>
      <c r="O14" s="77">
        <f t="shared" si="23"/>
        <v>5053.8979999999992</v>
      </c>
      <c r="P14" s="77">
        <f t="shared" si="32"/>
        <v>3768.6</v>
      </c>
      <c r="Q14" s="77">
        <f t="shared" si="33"/>
        <v>1741.9099999999999</v>
      </c>
      <c r="R14" s="77">
        <f t="shared" si="0"/>
        <v>12766.125</v>
      </c>
      <c r="S14" s="77">
        <f t="shared" si="1"/>
        <v>10383.24</v>
      </c>
      <c r="T14" s="77">
        <f t="shared" si="2"/>
        <v>8000.57</v>
      </c>
      <c r="U14" s="77">
        <f t="shared" si="24"/>
        <v>4834.1900000000005</v>
      </c>
      <c r="V14" s="77">
        <f t="shared" si="3"/>
        <v>12766.125</v>
      </c>
      <c r="W14" s="77">
        <f t="shared" si="4"/>
        <v>10383.24</v>
      </c>
      <c r="X14" s="77">
        <f t="shared" si="5"/>
        <v>6415.5550000000003</v>
      </c>
      <c r="Y14" s="77">
        <f t="shared" si="6"/>
        <v>7525.12</v>
      </c>
      <c r="Z14" s="77">
        <f t="shared" si="7"/>
        <v>6098.3950000000004</v>
      </c>
      <c r="AA14" s="77">
        <f t="shared" si="8"/>
        <v>4005.4409999999998</v>
      </c>
      <c r="AB14" s="77">
        <f t="shared" si="9"/>
        <v>2786.5160000000001</v>
      </c>
      <c r="AC14" s="77">
        <f t="shared" si="10"/>
        <v>12177.75</v>
      </c>
      <c r="AD14" s="77">
        <f t="shared" si="11"/>
        <v>9942.9600000000009</v>
      </c>
      <c r="AE14" s="77">
        <f t="shared" si="12"/>
        <v>7709.78</v>
      </c>
      <c r="AF14" s="77">
        <f t="shared" si="25"/>
        <v>4737.26</v>
      </c>
      <c r="AG14" s="77">
        <f t="shared" si="13"/>
        <v>12177.75</v>
      </c>
      <c r="AH14" s="77">
        <f t="shared" si="14"/>
        <v>9942.9600000000009</v>
      </c>
      <c r="AI14" s="77">
        <f t="shared" si="15"/>
        <v>6225.97</v>
      </c>
      <c r="AJ14" s="77">
        <f t="shared" si="16"/>
        <v>7264.48</v>
      </c>
      <c r="AK14" s="77">
        <f t="shared" si="17"/>
        <v>5929.33</v>
      </c>
      <c r="AL14" s="77">
        <f t="shared" si="18"/>
        <v>3900.4140000000002</v>
      </c>
      <c r="AM14" s="77">
        <f t="shared" si="19"/>
        <v>2721.4639999999999</v>
      </c>
    </row>
    <row r="15" spans="1:39" x14ac:dyDescent="0.25">
      <c r="A15" s="119" t="s">
        <v>103</v>
      </c>
      <c r="B15" s="80">
        <v>13</v>
      </c>
      <c r="C15" s="75">
        <v>0.90999999999999992</v>
      </c>
      <c r="D15" s="75">
        <v>0.97</v>
      </c>
      <c r="E15" s="75">
        <v>0.91</v>
      </c>
      <c r="F15" s="77">
        <f t="shared" si="26"/>
        <v>12440.414999999999</v>
      </c>
      <c r="G15" s="77">
        <f t="shared" si="20"/>
        <v>7006.8050000000003</v>
      </c>
      <c r="H15" s="77">
        <f t="shared" si="27"/>
        <v>10232.752499999999</v>
      </c>
      <c r="I15" s="77">
        <f t="shared" si="28"/>
        <v>8764.2374999999993</v>
      </c>
      <c r="J15" s="77">
        <f t="shared" si="21"/>
        <v>5845.4125000000004</v>
      </c>
      <c r="K15" s="77">
        <f t="shared" si="29"/>
        <v>12079.687499999998</v>
      </c>
      <c r="L15" s="77">
        <f t="shared" si="22"/>
        <v>6130.5625</v>
      </c>
      <c r="M15" s="77">
        <f t="shared" si="30"/>
        <v>9869.5799999999981</v>
      </c>
      <c r="N15" s="77">
        <f t="shared" si="31"/>
        <v>7661.3149999999996</v>
      </c>
      <c r="O15" s="77">
        <f t="shared" si="23"/>
        <v>5015.1260000000002</v>
      </c>
      <c r="P15" s="77">
        <f t="shared" si="32"/>
        <v>3736.2</v>
      </c>
      <c r="Q15" s="77">
        <f t="shared" si="33"/>
        <v>1728.1699999999998</v>
      </c>
      <c r="R15" s="77">
        <f t="shared" si="0"/>
        <v>12668.0625</v>
      </c>
      <c r="S15" s="77">
        <f t="shared" si="1"/>
        <v>10309.86</v>
      </c>
      <c r="T15" s="77">
        <f t="shared" si="2"/>
        <v>7952.1049999999996</v>
      </c>
      <c r="U15" s="77">
        <f t="shared" si="24"/>
        <v>4818.0349999999999</v>
      </c>
      <c r="V15" s="77">
        <f t="shared" si="3"/>
        <v>12668.0625</v>
      </c>
      <c r="W15" s="77">
        <f t="shared" si="4"/>
        <v>10309.86</v>
      </c>
      <c r="X15" s="77">
        <f t="shared" si="5"/>
        <v>6383.9575000000004</v>
      </c>
      <c r="Y15" s="77">
        <f t="shared" si="6"/>
        <v>7481.68</v>
      </c>
      <c r="Z15" s="77">
        <f t="shared" si="7"/>
        <v>6070.2174999999997</v>
      </c>
      <c r="AA15" s="77">
        <f t="shared" si="8"/>
        <v>3987.9364999999998</v>
      </c>
      <c r="AB15" s="77">
        <f t="shared" si="9"/>
        <v>2775.674</v>
      </c>
      <c r="AC15" s="77">
        <f t="shared" si="10"/>
        <v>12079.6875</v>
      </c>
      <c r="AD15" s="77">
        <f t="shared" si="11"/>
        <v>9869.58</v>
      </c>
      <c r="AE15" s="77">
        <f t="shared" si="12"/>
        <v>7661.3150000000005</v>
      </c>
      <c r="AF15" s="77">
        <f t="shared" si="25"/>
        <v>4721.1049999999996</v>
      </c>
      <c r="AG15" s="77">
        <f t="shared" si="13"/>
        <v>12079.6875</v>
      </c>
      <c r="AH15" s="77">
        <f t="shared" si="14"/>
        <v>9869.58</v>
      </c>
      <c r="AI15" s="77">
        <f t="shared" si="15"/>
        <v>6194.3724999999995</v>
      </c>
      <c r="AJ15" s="77">
        <f t="shared" si="16"/>
        <v>7221.04</v>
      </c>
      <c r="AK15" s="77">
        <f t="shared" si="17"/>
        <v>5901.1525000000001</v>
      </c>
      <c r="AL15" s="77">
        <f t="shared" si="18"/>
        <v>3882.9095000000002</v>
      </c>
      <c r="AM15" s="77">
        <f t="shared" si="19"/>
        <v>2710.6220000000003</v>
      </c>
    </row>
    <row r="16" spans="1:39" x14ac:dyDescent="0.25">
      <c r="A16" s="119" t="s">
        <v>102</v>
      </c>
      <c r="B16" s="80">
        <v>14</v>
      </c>
      <c r="C16" s="75">
        <v>0.91500000000000004</v>
      </c>
      <c r="D16" s="75">
        <v>0.96</v>
      </c>
      <c r="E16" s="75">
        <v>0.9</v>
      </c>
      <c r="F16" s="77">
        <f t="shared" si="26"/>
        <v>12485.1975</v>
      </c>
      <c r="G16" s="77">
        <f t="shared" si="20"/>
        <v>7021.7325000000001</v>
      </c>
      <c r="H16" s="77">
        <f t="shared" si="27"/>
        <v>10265.141250000001</v>
      </c>
      <c r="I16" s="77">
        <f t="shared" si="28"/>
        <v>8788.2937500000007</v>
      </c>
      <c r="J16" s="77">
        <f t="shared" si="21"/>
        <v>5853.4312499999996</v>
      </c>
      <c r="K16" s="77">
        <f t="shared" si="29"/>
        <v>12128.71875</v>
      </c>
      <c r="L16" s="77">
        <f t="shared" si="22"/>
        <v>6146.90625</v>
      </c>
      <c r="M16" s="77">
        <f t="shared" si="30"/>
        <v>9906.27</v>
      </c>
      <c r="N16" s="77">
        <f t="shared" si="31"/>
        <v>7685.5475000000006</v>
      </c>
      <c r="O16" s="77">
        <f t="shared" si="23"/>
        <v>5024.8189999999995</v>
      </c>
      <c r="P16" s="77">
        <f t="shared" si="32"/>
        <v>3744.3</v>
      </c>
      <c r="Q16" s="77">
        <f t="shared" si="33"/>
        <v>1731.605</v>
      </c>
      <c r="R16" s="77">
        <f t="shared" si="0"/>
        <v>12570</v>
      </c>
      <c r="S16" s="77">
        <f t="shared" si="1"/>
        <v>10236.48</v>
      </c>
      <c r="T16" s="77">
        <f t="shared" si="2"/>
        <v>7903.6399999999994</v>
      </c>
      <c r="U16" s="77">
        <f t="shared" si="24"/>
        <v>4801.88</v>
      </c>
      <c r="V16" s="77">
        <f t="shared" si="3"/>
        <v>12570</v>
      </c>
      <c r="W16" s="77">
        <f t="shared" si="4"/>
        <v>10236.48</v>
      </c>
      <c r="X16" s="77">
        <f t="shared" si="5"/>
        <v>6352.36</v>
      </c>
      <c r="Y16" s="77">
        <f t="shared" si="6"/>
        <v>7438.24</v>
      </c>
      <c r="Z16" s="77">
        <f t="shared" si="7"/>
        <v>6042.04</v>
      </c>
      <c r="AA16" s="77">
        <f t="shared" si="8"/>
        <v>3970.4319999999998</v>
      </c>
      <c r="AB16" s="77">
        <f t="shared" si="9"/>
        <v>2764.8320000000003</v>
      </c>
      <c r="AC16" s="77">
        <f t="shared" si="10"/>
        <v>11981.625</v>
      </c>
      <c r="AD16" s="77">
        <f t="shared" si="11"/>
        <v>9796.2000000000007</v>
      </c>
      <c r="AE16" s="77">
        <f t="shared" si="12"/>
        <v>7612.85</v>
      </c>
      <c r="AF16" s="77">
        <f t="shared" si="25"/>
        <v>4704.95</v>
      </c>
      <c r="AG16" s="77">
        <f t="shared" si="13"/>
        <v>11981.625</v>
      </c>
      <c r="AH16" s="77">
        <f t="shared" si="14"/>
        <v>9796.2000000000007</v>
      </c>
      <c r="AI16" s="77">
        <f t="shared" si="15"/>
        <v>6162.7749999999996</v>
      </c>
      <c r="AJ16" s="77">
        <f t="shared" si="16"/>
        <v>7177.6</v>
      </c>
      <c r="AK16" s="77">
        <f t="shared" si="17"/>
        <v>5872.9750000000004</v>
      </c>
      <c r="AL16" s="77">
        <f t="shared" si="18"/>
        <v>3865.4049999999997</v>
      </c>
      <c r="AM16" s="77">
        <f t="shared" si="19"/>
        <v>2699.78</v>
      </c>
    </row>
    <row r="17" spans="1:39" x14ac:dyDescent="0.25">
      <c r="A17" s="119" t="s">
        <v>106</v>
      </c>
      <c r="B17" s="80">
        <v>15</v>
      </c>
      <c r="C17" s="75">
        <v>0.89500000000000002</v>
      </c>
      <c r="D17" s="75">
        <v>0.97</v>
      </c>
      <c r="E17" s="75">
        <v>0.92</v>
      </c>
      <c r="F17" s="77">
        <f t="shared" si="26"/>
        <v>12306.067500000001</v>
      </c>
      <c r="G17" s="77">
        <f t="shared" si="20"/>
        <v>6962.0225</v>
      </c>
      <c r="H17" s="77">
        <f t="shared" si="27"/>
        <v>10135.58625</v>
      </c>
      <c r="I17" s="77">
        <f t="shared" si="28"/>
        <v>8692.0687500000004</v>
      </c>
      <c r="J17" s="77">
        <f t="shared" si="21"/>
        <v>5821.3562499999998</v>
      </c>
      <c r="K17" s="77">
        <f t="shared" si="29"/>
        <v>11932.59375</v>
      </c>
      <c r="L17" s="77">
        <f t="shared" si="22"/>
        <v>6081.53125</v>
      </c>
      <c r="M17" s="77">
        <f t="shared" si="30"/>
        <v>9759.51</v>
      </c>
      <c r="N17" s="77">
        <f t="shared" si="31"/>
        <v>7588.6175000000003</v>
      </c>
      <c r="O17" s="77">
        <f t="shared" si="23"/>
        <v>4986.0470000000005</v>
      </c>
      <c r="P17" s="77">
        <f t="shared" si="32"/>
        <v>3711.8999999999996</v>
      </c>
      <c r="Q17" s="77">
        <f t="shared" si="33"/>
        <v>1717.865</v>
      </c>
      <c r="R17" s="77">
        <f t="shared" si="0"/>
        <v>12668.0625</v>
      </c>
      <c r="S17" s="77">
        <f t="shared" si="1"/>
        <v>10309.86</v>
      </c>
      <c r="T17" s="77">
        <f t="shared" si="2"/>
        <v>7952.1049999999996</v>
      </c>
      <c r="U17" s="77">
        <f t="shared" si="24"/>
        <v>4818.0349999999999</v>
      </c>
      <c r="V17" s="77">
        <f t="shared" si="3"/>
        <v>12668.0625</v>
      </c>
      <c r="W17" s="77">
        <f t="shared" si="4"/>
        <v>10309.86</v>
      </c>
      <c r="X17" s="77">
        <f t="shared" si="5"/>
        <v>6383.9575000000004</v>
      </c>
      <c r="Y17" s="77">
        <f t="shared" si="6"/>
        <v>7481.68</v>
      </c>
      <c r="Z17" s="77">
        <f t="shared" si="7"/>
        <v>6070.2174999999997</v>
      </c>
      <c r="AA17" s="77">
        <f t="shared" si="8"/>
        <v>3987.9364999999998</v>
      </c>
      <c r="AB17" s="77">
        <f t="shared" si="9"/>
        <v>2775.674</v>
      </c>
      <c r="AC17" s="77">
        <f t="shared" si="10"/>
        <v>12177.75</v>
      </c>
      <c r="AD17" s="77">
        <f t="shared" si="11"/>
        <v>9942.9600000000009</v>
      </c>
      <c r="AE17" s="77">
        <f t="shared" si="12"/>
        <v>7709.78</v>
      </c>
      <c r="AF17" s="77">
        <f t="shared" si="25"/>
        <v>4737.26</v>
      </c>
      <c r="AG17" s="77">
        <f t="shared" si="13"/>
        <v>12177.75</v>
      </c>
      <c r="AH17" s="77">
        <f t="shared" si="14"/>
        <v>9942.9600000000009</v>
      </c>
      <c r="AI17" s="77">
        <f t="shared" si="15"/>
        <v>6225.97</v>
      </c>
      <c r="AJ17" s="77">
        <f t="shared" si="16"/>
        <v>7264.48</v>
      </c>
      <c r="AK17" s="77">
        <f t="shared" si="17"/>
        <v>5929.33</v>
      </c>
      <c r="AL17" s="77">
        <f t="shared" si="18"/>
        <v>3900.4140000000002</v>
      </c>
      <c r="AM17" s="77">
        <f t="shared" si="19"/>
        <v>2721.4639999999999</v>
      </c>
    </row>
    <row r="18" spans="1:39" x14ac:dyDescent="0.25">
      <c r="A18" s="119" t="s">
        <v>51</v>
      </c>
      <c r="B18" s="80">
        <v>16</v>
      </c>
      <c r="C18" s="75">
        <v>0.96</v>
      </c>
      <c r="D18" s="75">
        <v>0.96</v>
      </c>
      <c r="E18" s="75">
        <v>0.88</v>
      </c>
      <c r="F18" s="77">
        <f t="shared" si="26"/>
        <v>12888.24</v>
      </c>
      <c r="G18" s="77">
        <f t="shared" si="20"/>
        <v>7156.08</v>
      </c>
      <c r="H18" s="77">
        <f t="shared" si="27"/>
        <v>10556.64</v>
      </c>
      <c r="I18" s="77">
        <f t="shared" si="28"/>
        <v>9004.7999999999993</v>
      </c>
      <c r="J18" s="77">
        <f t="shared" si="21"/>
        <v>5925.6</v>
      </c>
      <c r="K18" s="77">
        <f t="shared" si="29"/>
        <v>12570</v>
      </c>
      <c r="L18" s="77">
        <f t="shared" si="22"/>
        <v>6294</v>
      </c>
      <c r="M18" s="77">
        <f t="shared" si="30"/>
        <v>10236.48</v>
      </c>
      <c r="N18" s="77">
        <f t="shared" si="31"/>
        <v>7903.6399999999994</v>
      </c>
      <c r="O18" s="77">
        <f t="shared" si="23"/>
        <v>5112.0559999999996</v>
      </c>
      <c r="P18" s="77">
        <f t="shared" si="32"/>
        <v>3817.2</v>
      </c>
      <c r="Q18" s="77">
        <f t="shared" si="33"/>
        <v>1762.52</v>
      </c>
      <c r="R18" s="77">
        <f t="shared" si="0"/>
        <v>12570</v>
      </c>
      <c r="S18" s="77">
        <f t="shared" si="1"/>
        <v>10236.48</v>
      </c>
      <c r="T18" s="77">
        <f t="shared" si="2"/>
        <v>7903.6399999999994</v>
      </c>
      <c r="U18" s="77">
        <f t="shared" si="24"/>
        <v>4801.88</v>
      </c>
      <c r="V18" s="77">
        <f t="shared" si="3"/>
        <v>12570</v>
      </c>
      <c r="W18" s="77">
        <f t="shared" si="4"/>
        <v>10236.48</v>
      </c>
      <c r="X18" s="77">
        <f t="shared" si="5"/>
        <v>6352.36</v>
      </c>
      <c r="Y18" s="77">
        <f t="shared" si="6"/>
        <v>7438.24</v>
      </c>
      <c r="Z18" s="77">
        <f t="shared" si="7"/>
        <v>6042.04</v>
      </c>
      <c r="AA18" s="77">
        <f t="shared" si="8"/>
        <v>3970.4319999999998</v>
      </c>
      <c r="AB18" s="77">
        <f t="shared" si="9"/>
        <v>2764.8320000000003</v>
      </c>
      <c r="AC18" s="77">
        <f t="shared" si="10"/>
        <v>11785.5</v>
      </c>
      <c r="AD18" s="77">
        <f t="shared" si="11"/>
        <v>9649.44</v>
      </c>
      <c r="AE18" s="77">
        <f t="shared" si="12"/>
        <v>7515.92</v>
      </c>
      <c r="AF18" s="77">
        <f t="shared" si="25"/>
        <v>4672.6400000000003</v>
      </c>
      <c r="AG18" s="77">
        <f t="shared" si="13"/>
        <v>11785.5</v>
      </c>
      <c r="AH18" s="77">
        <f t="shared" si="14"/>
        <v>9649.44</v>
      </c>
      <c r="AI18" s="77">
        <f t="shared" si="15"/>
        <v>6099.58</v>
      </c>
      <c r="AJ18" s="77">
        <f t="shared" si="16"/>
        <v>7090.7199999999993</v>
      </c>
      <c r="AK18" s="77">
        <f t="shared" si="17"/>
        <v>5816.62</v>
      </c>
      <c r="AL18" s="77">
        <f t="shared" si="18"/>
        <v>3830.3959999999997</v>
      </c>
      <c r="AM18" s="77">
        <f t="shared" si="19"/>
        <v>2678.096</v>
      </c>
    </row>
    <row r="19" spans="1:39" x14ac:dyDescent="0.25">
      <c r="A19" s="119" t="s">
        <v>95</v>
      </c>
      <c r="B19" s="80">
        <v>17</v>
      </c>
      <c r="C19" s="75">
        <v>0.90500000000000003</v>
      </c>
      <c r="D19" s="75">
        <v>0.97</v>
      </c>
      <c r="E19" s="75">
        <v>0.91</v>
      </c>
      <c r="F19" s="77">
        <f t="shared" si="26"/>
        <v>12395.6325</v>
      </c>
      <c r="G19" s="77">
        <f t="shared" si="20"/>
        <v>6991.8775000000005</v>
      </c>
      <c r="H19" s="77">
        <f t="shared" si="27"/>
        <v>10200.36375</v>
      </c>
      <c r="I19" s="77">
        <f t="shared" si="28"/>
        <v>8740.1812500000015</v>
      </c>
      <c r="J19" s="77">
        <f t="shared" si="21"/>
        <v>5837.3937500000002</v>
      </c>
      <c r="K19" s="77">
        <f t="shared" si="29"/>
        <v>12030.65625</v>
      </c>
      <c r="L19" s="77">
        <f t="shared" si="22"/>
        <v>6114.21875</v>
      </c>
      <c r="M19" s="77">
        <f t="shared" si="30"/>
        <v>9832.89</v>
      </c>
      <c r="N19" s="77">
        <f t="shared" si="31"/>
        <v>7637.0825000000004</v>
      </c>
      <c r="O19" s="77">
        <f t="shared" si="23"/>
        <v>5005.433</v>
      </c>
      <c r="P19" s="77">
        <f t="shared" si="32"/>
        <v>3728.1</v>
      </c>
      <c r="Q19" s="77">
        <f t="shared" si="33"/>
        <v>1724.7350000000001</v>
      </c>
      <c r="R19" s="77">
        <f t="shared" si="0"/>
        <v>12668.0625</v>
      </c>
      <c r="S19" s="77">
        <f t="shared" si="1"/>
        <v>10309.86</v>
      </c>
      <c r="T19" s="77">
        <f t="shared" si="2"/>
        <v>7952.1049999999996</v>
      </c>
      <c r="U19" s="77">
        <f t="shared" si="24"/>
        <v>4818.0349999999999</v>
      </c>
      <c r="V19" s="77">
        <f t="shared" si="3"/>
        <v>12668.0625</v>
      </c>
      <c r="W19" s="77">
        <f t="shared" si="4"/>
        <v>10309.86</v>
      </c>
      <c r="X19" s="77">
        <f t="shared" si="5"/>
        <v>6383.9575000000004</v>
      </c>
      <c r="Y19" s="77">
        <f t="shared" si="6"/>
        <v>7481.68</v>
      </c>
      <c r="Z19" s="77">
        <f t="shared" si="7"/>
        <v>6070.2174999999997</v>
      </c>
      <c r="AA19" s="77">
        <f t="shared" si="8"/>
        <v>3987.9364999999998</v>
      </c>
      <c r="AB19" s="77">
        <f t="shared" si="9"/>
        <v>2775.674</v>
      </c>
      <c r="AC19" s="77">
        <f t="shared" si="10"/>
        <v>12079.6875</v>
      </c>
      <c r="AD19" s="77">
        <f t="shared" si="11"/>
        <v>9869.58</v>
      </c>
      <c r="AE19" s="77">
        <f t="shared" si="12"/>
        <v>7661.3150000000005</v>
      </c>
      <c r="AF19" s="77">
        <f t="shared" si="25"/>
        <v>4721.1049999999996</v>
      </c>
      <c r="AG19" s="77">
        <f t="shared" si="13"/>
        <v>12079.6875</v>
      </c>
      <c r="AH19" s="77">
        <f t="shared" si="14"/>
        <v>9869.58</v>
      </c>
      <c r="AI19" s="77">
        <f t="shared" si="15"/>
        <v>6194.3724999999995</v>
      </c>
      <c r="AJ19" s="77">
        <f t="shared" si="16"/>
        <v>7221.04</v>
      </c>
      <c r="AK19" s="77">
        <f t="shared" si="17"/>
        <v>5901.1525000000001</v>
      </c>
      <c r="AL19" s="77">
        <f t="shared" si="18"/>
        <v>3882.9095000000002</v>
      </c>
      <c r="AM19" s="77">
        <f t="shared" si="19"/>
        <v>2710.6220000000003</v>
      </c>
    </row>
    <row r="20" spans="1:39" x14ac:dyDescent="0.25">
      <c r="A20" s="119" t="s">
        <v>119</v>
      </c>
      <c r="B20" s="80">
        <v>18</v>
      </c>
      <c r="C20" s="75">
        <v>0.88</v>
      </c>
      <c r="D20" s="75">
        <v>0.97</v>
      </c>
      <c r="E20" s="75">
        <v>0.92</v>
      </c>
      <c r="F20" s="77">
        <f t="shared" si="26"/>
        <v>12171.720000000001</v>
      </c>
      <c r="G20" s="77">
        <f t="shared" si="20"/>
        <v>6917.24</v>
      </c>
      <c r="H20" s="77">
        <f t="shared" si="27"/>
        <v>10038.42</v>
      </c>
      <c r="I20" s="77">
        <f t="shared" si="28"/>
        <v>8619.9</v>
      </c>
      <c r="J20" s="77">
        <f t="shared" si="21"/>
        <v>5797.3</v>
      </c>
      <c r="K20" s="77">
        <f t="shared" si="29"/>
        <v>11785.5</v>
      </c>
      <c r="L20" s="77">
        <f t="shared" si="22"/>
        <v>6032.5</v>
      </c>
      <c r="M20" s="77">
        <f t="shared" si="30"/>
        <v>9649.44</v>
      </c>
      <c r="N20" s="77">
        <f t="shared" si="31"/>
        <v>7515.92</v>
      </c>
      <c r="O20" s="77">
        <f t="shared" si="23"/>
        <v>4956.9679999999998</v>
      </c>
      <c r="P20" s="77">
        <f t="shared" si="32"/>
        <v>3687.6</v>
      </c>
      <c r="Q20" s="77">
        <f t="shared" si="33"/>
        <v>1707.56</v>
      </c>
      <c r="R20" s="77">
        <f t="shared" si="0"/>
        <v>12668.0625</v>
      </c>
      <c r="S20" s="77">
        <f t="shared" si="1"/>
        <v>10309.86</v>
      </c>
      <c r="T20" s="77">
        <f t="shared" si="2"/>
        <v>7952.1049999999996</v>
      </c>
      <c r="U20" s="77">
        <f t="shared" si="24"/>
        <v>4818.0349999999999</v>
      </c>
      <c r="V20" s="77">
        <f t="shared" si="3"/>
        <v>12668.0625</v>
      </c>
      <c r="W20" s="77">
        <f t="shared" si="4"/>
        <v>10309.86</v>
      </c>
      <c r="X20" s="77">
        <f t="shared" si="5"/>
        <v>6383.9575000000004</v>
      </c>
      <c r="Y20" s="77">
        <f t="shared" si="6"/>
        <v>7481.68</v>
      </c>
      <c r="Z20" s="77">
        <f t="shared" si="7"/>
        <v>6070.2174999999997</v>
      </c>
      <c r="AA20" s="77">
        <f t="shared" si="8"/>
        <v>3987.9364999999998</v>
      </c>
      <c r="AB20" s="77">
        <f t="shared" si="9"/>
        <v>2775.674</v>
      </c>
      <c r="AC20" s="77">
        <f t="shared" si="10"/>
        <v>12177.75</v>
      </c>
      <c r="AD20" s="77">
        <f t="shared" si="11"/>
        <v>9942.9600000000009</v>
      </c>
      <c r="AE20" s="77">
        <f t="shared" si="12"/>
        <v>7709.78</v>
      </c>
      <c r="AF20" s="77">
        <f t="shared" si="25"/>
        <v>4737.26</v>
      </c>
      <c r="AG20" s="77">
        <f t="shared" si="13"/>
        <v>12177.75</v>
      </c>
      <c r="AH20" s="77">
        <f t="shared" si="14"/>
        <v>9942.9600000000009</v>
      </c>
      <c r="AI20" s="77">
        <f t="shared" si="15"/>
        <v>6225.97</v>
      </c>
      <c r="AJ20" s="77">
        <f t="shared" si="16"/>
        <v>7264.48</v>
      </c>
      <c r="AK20" s="77">
        <f t="shared" si="17"/>
        <v>5929.33</v>
      </c>
      <c r="AL20" s="77">
        <f t="shared" si="18"/>
        <v>3900.4140000000002</v>
      </c>
      <c r="AM20" s="77">
        <f t="shared" si="19"/>
        <v>2721.4639999999999</v>
      </c>
    </row>
    <row r="21" spans="1:39" x14ac:dyDescent="0.25">
      <c r="A21" s="119" t="s">
        <v>71</v>
      </c>
      <c r="B21" s="80">
        <v>19</v>
      </c>
      <c r="C21" s="75">
        <v>0.94500000000000006</v>
      </c>
      <c r="D21" s="75">
        <v>0.97</v>
      </c>
      <c r="E21" s="75">
        <v>0.92</v>
      </c>
      <c r="F21" s="77">
        <f t="shared" si="26"/>
        <v>12753.8925</v>
      </c>
      <c r="G21" s="77">
        <f t="shared" si="20"/>
        <v>7111.2975000000006</v>
      </c>
      <c r="H21" s="77">
        <f t="shared" si="27"/>
        <v>10459.473750000001</v>
      </c>
      <c r="I21" s="77">
        <f t="shared" si="28"/>
        <v>8932.6312500000004</v>
      </c>
      <c r="J21" s="77">
        <f t="shared" si="21"/>
        <v>5901.5437499999998</v>
      </c>
      <c r="K21" s="77">
        <f t="shared" si="29"/>
        <v>12422.90625</v>
      </c>
      <c r="L21" s="77">
        <f t="shared" si="22"/>
        <v>6244.96875</v>
      </c>
      <c r="M21" s="77">
        <f t="shared" si="30"/>
        <v>10126.41</v>
      </c>
      <c r="N21" s="77">
        <f t="shared" si="31"/>
        <v>7830.9425000000001</v>
      </c>
      <c r="O21" s="77">
        <f t="shared" si="23"/>
        <v>5082.9769999999999</v>
      </c>
      <c r="P21" s="77">
        <f t="shared" si="32"/>
        <v>3792.8999999999996</v>
      </c>
      <c r="Q21" s="77">
        <f t="shared" si="33"/>
        <v>1752.2150000000001</v>
      </c>
      <c r="R21" s="77">
        <f t="shared" si="0"/>
        <v>12668.0625</v>
      </c>
      <c r="S21" s="77">
        <f t="shared" si="1"/>
        <v>10309.86</v>
      </c>
      <c r="T21" s="77">
        <f t="shared" si="2"/>
        <v>7952.1049999999996</v>
      </c>
      <c r="U21" s="77">
        <f t="shared" si="24"/>
        <v>4818.0349999999999</v>
      </c>
      <c r="V21" s="77">
        <f t="shared" si="3"/>
        <v>12668.0625</v>
      </c>
      <c r="W21" s="77">
        <f t="shared" si="4"/>
        <v>10309.86</v>
      </c>
      <c r="X21" s="77">
        <f t="shared" si="5"/>
        <v>6383.9575000000004</v>
      </c>
      <c r="Y21" s="77">
        <f t="shared" si="6"/>
        <v>7481.68</v>
      </c>
      <c r="Z21" s="77">
        <f t="shared" si="7"/>
        <v>6070.2174999999997</v>
      </c>
      <c r="AA21" s="77">
        <f t="shared" si="8"/>
        <v>3987.9364999999998</v>
      </c>
      <c r="AB21" s="77">
        <f t="shared" si="9"/>
        <v>2775.674</v>
      </c>
      <c r="AC21" s="77">
        <f t="shared" si="10"/>
        <v>12177.75</v>
      </c>
      <c r="AD21" s="77">
        <f t="shared" si="11"/>
        <v>9942.9600000000009</v>
      </c>
      <c r="AE21" s="77">
        <f t="shared" si="12"/>
        <v>7709.78</v>
      </c>
      <c r="AF21" s="77">
        <f t="shared" si="25"/>
        <v>4737.26</v>
      </c>
      <c r="AG21" s="77">
        <f t="shared" si="13"/>
        <v>12177.75</v>
      </c>
      <c r="AH21" s="77">
        <f t="shared" si="14"/>
        <v>9942.9600000000009</v>
      </c>
      <c r="AI21" s="77">
        <f t="shared" si="15"/>
        <v>6225.97</v>
      </c>
      <c r="AJ21" s="77">
        <f t="shared" si="16"/>
        <v>7264.48</v>
      </c>
      <c r="AK21" s="77">
        <f t="shared" si="17"/>
        <v>5929.33</v>
      </c>
      <c r="AL21" s="77">
        <f t="shared" si="18"/>
        <v>3900.4140000000002</v>
      </c>
      <c r="AM21" s="77">
        <f t="shared" si="19"/>
        <v>2721.4639999999999</v>
      </c>
    </row>
    <row r="22" spans="1:39" x14ac:dyDescent="0.25">
      <c r="A22" s="119" t="s">
        <v>65</v>
      </c>
      <c r="B22" s="80">
        <v>20</v>
      </c>
      <c r="C22" s="75">
        <v>0.95499999999999996</v>
      </c>
      <c r="D22" s="75">
        <v>0.95</v>
      </c>
      <c r="E22" s="75">
        <v>0.92</v>
      </c>
      <c r="F22" s="77">
        <f t="shared" si="26"/>
        <v>12843.457499999999</v>
      </c>
      <c r="G22" s="77">
        <f t="shared" si="20"/>
        <v>7141.1525000000001</v>
      </c>
      <c r="H22" s="77">
        <f t="shared" si="27"/>
        <v>10524.251249999999</v>
      </c>
      <c r="I22" s="77">
        <f t="shared" si="28"/>
        <v>8980.7437499999996</v>
      </c>
      <c r="J22" s="77">
        <f t="shared" si="21"/>
        <v>5917.5812500000002</v>
      </c>
      <c r="K22" s="77">
        <f t="shared" si="29"/>
        <v>12520.96875</v>
      </c>
      <c r="L22" s="77">
        <f t="shared" si="22"/>
        <v>6277.65625</v>
      </c>
      <c r="M22" s="77">
        <f t="shared" si="30"/>
        <v>10199.789999999999</v>
      </c>
      <c r="N22" s="77">
        <f t="shared" si="31"/>
        <v>7879.4075000000003</v>
      </c>
      <c r="O22" s="77">
        <f t="shared" si="23"/>
        <v>5102.3629999999994</v>
      </c>
      <c r="P22" s="77">
        <f t="shared" si="32"/>
        <v>3809.1</v>
      </c>
      <c r="Q22" s="77">
        <f t="shared" si="33"/>
        <v>1759.085</v>
      </c>
      <c r="R22" s="77">
        <f t="shared" si="0"/>
        <v>12471.9375</v>
      </c>
      <c r="S22" s="77">
        <f t="shared" si="1"/>
        <v>10163.099999999999</v>
      </c>
      <c r="T22" s="77">
        <f t="shared" si="2"/>
        <v>7855.1749999999993</v>
      </c>
      <c r="U22" s="77">
        <f t="shared" si="24"/>
        <v>4785.7250000000004</v>
      </c>
      <c r="V22" s="77">
        <f t="shared" si="3"/>
        <v>12471.9375</v>
      </c>
      <c r="W22" s="77">
        <f t="shared" si="4"/>
        <v>10163.099999999999</v>
      </c>
      <c r="X22" s="77">
        <f t="shared" si="5"/>
        <v>6320.7624999999998</v>
      </c>
      <c r="Y22" s="77">
        <f t="shared" si="6"/>
        <v>7394.8</v>
      </c>
      <c r="Z22" s="77">
        <f t="shared" si="7"/>
        <v>6013.8624999999993</v>
      </c>
      <c r="AA22" s="77">
        <f t="shared" si="8"/>
        <v>3952.9274999999998</v>
      </c>
      <c r="AB22" s="77">
        <f t="shared" si="9"/>
        <v>2753.99</v>
      </c>
      <c r="AC22" s="77">
        <f t="shared" si="10"/>
        <v>12177.75</v>
      </c>
      <c r="AD22" s="77">
        <f t="shared" si="11"/>
        <v>9942.9600000000009</v>
      </c>
      <c r="AE22" s="77">
        <f t="shared" si="12"/>
        <v>7709.78</v>
      </c>
      <c r="AF22" s="77">
        <f t="shared" si="25"/>
        <v>4737.26</v>
      </c>
      <c r="AG22" s="77">
        <f t="shared" si="13"/>
        <v>12177.75</v>
      </c>
      <c r="AH22" s="77">
        <f t="shared" si="14"/>
        <v>9942.9600000000009</v>
      </c>
      <c r="AI22" s="77">
        <f t="shared" si="15"/>
        <v>6225.97</v>
      </c>
      <c r="AJ22" s="77">
        <f t="shared" si="16"/>
        <v>7264.48</v>
      </c>
      <c r="AK22" s="77">
        <f t="shared" si="17"/>
        <v>5929.33</v>
      </c>
      <c r="AL22" s="77">
        <f t="shared" si="18"/>
        <v>3900.4140000000002</v>
      </c>
      <c r="AM22" s="77">
        <f t="shared" si="19"/>
        <v>2721.4639999999999</v>
      </c>
    </row>
    <row r="23" spans="1:39" x14ac:dyDescent="0.25">
      <c r="A23" s="119" t="s">
        <v>40</v>
      </c>
      <c r="B23" s="80">
        <v>21</v>
      </c>
      <c r="C23" s="75">
        <v>0.995</v>
      </c>
      <c r="D23" s="75">
        <v>0.98</v>
      </c>
      <c r="E23" s="75">
        <v>0.91</v>
      </c>
      <c r="F23" s="77">
        <f t="shared" si="26"/>
        <v>13201.717499999999</v>
      </c>
      <c r="G23" s="77">
        <f t="shared" si="20"/>
        <v>7260.5725000000002</v>
      </c>
      <c r="H23" s="77">
        <f t="shared" si="27"/>
        <v>10783.36125</v>
      </c>
      <c r="I23" s="77">
        <f t="shared" si="28"/>
        <v>9173.1937500000004</v>
      </c>
      <c r="J23" s="77">
        <f t="shared" si="21"/>
        <v>5981.7312499999998</v>
      </c>
      <c r="K23" s="77">
        <f t="shared" si="29"/>
        <v>12913.21875</v>
      </c>
      <c r="L23" s="77">
        <f t="shared" si="22"/>
        <v>6408.40625</v>
      </c>
      <c r="M23" s="77">
        <f t="shared" si="30"/>
        <v>10493.31</v>
      </c>
      <c r="N23" s="77">
        <f t="shared" si="31"/>
        <v>8073.2674999999999</v>
      </c>
      <c r="O23" s="77">
        <f t="shared" si="23"/>
        <v>5179.9070000000002</v>
      </c>
      <c r="P23" s="77">
        <f t="shared" si="32"/>
        <v>3873.8999999999996</v>
      </c>
      <c r="Q23" s="77">
        <f t="shared" si="33"/>
        <v>1786.5650000000001</v>
      </c>
      <c r="R23" s="77">
        <f t="shared" si="0"/>
        <v>12766.125</v>
      </c>
      <c r="S23" s="77">
        <f t="shared" si="1"/>
        <v>10383.24</v>
      </c>
      <c r="T23" s="77">
        <f t="shared" si="2"/>
        <v>8000.57</v>
      </c>
      <c r="U23" s="77">
        <f t="shared" si="24"/>
        <v>4834.1900000000005</v>
      </c>
      <c r="V23" s="77">
        <f t="shared" si="3"/>
        <v>12766.125</v>
      </c>
      <c r="W23" s="77">
        <f t="shared" si="4"/>
        <v>10383.24</v>
      </c>
      <c r="X23" s="77">
        <f t="shared" si="5"/>
        <v>6415.5550000000003</v>
      </c>
      <c r="Y23" s="77">
        <f t="shared" si="6"/>
        <v>7525.12</v>
      </c>
      <c r="Z23" s="77">
        <f t="shared" si="7"/>
        <v>6098.3950000000004</v>
      </c>
      <c r="AA23" s="77">
        <f t="shared" si="8"/>
        <v>4005.4409999999998</v>
      </c>
      <c r="AB23" s="77">
        <f t="shared" si="9"/>
        <v>2786.5160000000001</v>
      </c>
      <c r="AC23" s="77">
        <f t="shared" si="10"/>
        <v>12079.6875</v>
      </c>
      <c r="AD23" s="77">
        <f t="shared" si="11"/>
        <v>9869.58</v>
      </c>
      <c r="AE23" s="77">
        <f t="shared" si="12"/>
        <v>7661.3150000000005</v>
      </c>
      <c r="AF23" s="77">
        <f t="shared" si="25"/>
        <v>4721.1049999999996</v>
      </c>
      <c r="AG23" s="77">
        <f t="shared" si="13"/>
        <v>12079.6875</v>
      </c>
      <c r="AH23" s="77">
        <f t="shared" si="14"/>
        <v>9869.58</v>
      </c>
      <c r="AI23" s="77">
        <f t="shared" si="15"/>
        <v>6194.3724999999995</v>
      </c>
      <c r="AJ23" s="77">
        <f t="shared" si="16"/>
        <v>7221.04</v>
      </c>
      <c r="AK23" s="77">
        <f t="shared" si="17"/>
        <v>5901.1525000000001</v>
      </c>
      <c r="AL23" s="77">
        <f t="shared" si="18"/>
        <v>3882.9095000000002</v>
      </c>
      <c r="AM23" s="77">
        <f t="shared" si="19"/>
        <v>2710.6220000000003</v>
      </c>
    </row>
    <row r="24" spans="1:39" x14ac:dyDescent="0.25">
      <c r="A24" s="119" t="s">
        <v>96</v>
      </c>
      <c r="B24" s="80">
        <v>22</v>
      </c>
      <c r="C24" s="75">
        <v>0.90999999999999992</v>
      </c>
      <c r="D24" s="75">
        <v>0.96</v>
      </c>
      <c r="E24" s="75">
        <v>0.9</v>
      </c>
      <c r="F24" s="77">
        <f t="shared" si="26"/>
        <v>12440.414999999999</v>
      </c>
      <c r="G24" s="77">
        <f t="shared" si="20"/>
        <v>7006.8050000000003</v>
      </c>
      <c r="H24" s="77">
        <f t="shared" si="27"/>
        <v>10232.752499999999</v>
      </c>
      <c r="I24" s="77">
        <f t="shared" si="28"/>
        <v>8764.2374999999993</v>
      </c>
      <c r="J24" s="77">
        <f t="shared" si="21"/>
        <v>5845.4125000000004</v>
      </c>
      <c r="K24" s="77">
        <f t="shared" si="29"/>
        <v>12079.687499999998</v>
      </c>
      <c r="L24" s="77">
        <f t="shared" si="22"/>
        <v>6130.5625</v>
      </c>
      <c r="M24" s="77">
        <f t="shared" si="30"/>
        <v>9869.5799999999981</v>
      </c>
      <c r="N24" s="77">
        <f t="shared" si="31"/>
        <v>7661.3149999999996</v>
      </c>
      <c r="O24" s="77">
        <f t="shared" si="23"/>
        <v>5015.1260000000002</v>
      </c>
      <c r="P24" s="77">
        <f t="shared" si="32"/>
        <v>3736.2</v>
      </c>
      <c r="Q24" s="77">
        <f t="shared" si="33"/>
        <v>1728.1699999999998</v>
      </c>
      <c r="R24" s="77">
        <f t="shared" si="0"/>
        <v>12570</v>
      </c>
      <c r="S24" s="77">
        <f t="shared" si="1"/>
        <v>10236.48</v>
      </c>
      <c r="T24" s="77">
        <f t="shared" si="2"/>
        <v>7903.6399999999994</v>
      </c>
      <c r="U24" s="77">
        <f t="shared" si="24"/>
        <v>4801.88</v>
      </c>
      <c r="V24" s="77">
        <f t="shared" si="3"/>
        <v>12570</v>
      </c>
      <c r="W24" s="77">
        <f t="shared" si="4"/>
        <v>10236.48</v>
      </c>
      <c r="X24" s="77">
        <f t="shared" si="5"/>
        <v>6352.36</v>
      </c>
      <c r="Y24" s="77">
        <f t="shared" si="6"/>
        <v>7438.24</v>
      </c>
      <c r="Z24" s="77">
        <f t="shared" si="7"/>
        <v>6042.04</v>
      </c>
      <c r="AA24" s="77">
        <f t="shared" si="8"/>
        <v>3970.4319999999998</v>
      </c>
      <c r="AB24" s="77">
        <f t="shared" si="9"/>
        <v>2764.8320000000003</v>
      </c>
      <c r="AC24" s="77">
        <f t="shared" si="10"/>
        <v>11981.625</v>
      </c>
      <c r="AD24" s="77">
        <f t="shared" si="11"/>
        <v>9796.2000000000007</v>
      </c>
      <c r="AE24" s="77">
        <f t="shared" si="12"/>
        <v>7612.85</v>
      </c>
      <c r="AF24" s="77">
        <f t="shared" si="25"/>
        <v>4704.95</v>
      </c>
      <c r="AG24" s="77">
        <f t="shared" si="13"/>
        <v>11981.625</v>
      </c>
      <c r="AH24" s="77">
        <f t="shared" si="14"/>
        <v>9796.2000000000007</v>
      </c>
      <c r="AI24" s="77">
        <f t="shared" si="15"/>
        <v>6162.7749999999996</v>
      </c>
      <c r="AJ24" s="77">
        <f t="shared" si="16"/>
        <v>7177.6</v>
      </c>
      <c r="AK24" s="77">
        <f t="shared" si="17"/>
        <v>5872.9750000000004</v>
      </c>
      <c r="AL24" s="77">
        <f t="shared" si="18"/>
        <v>3865.4049999999997</v>
      </c>
      <c r="AM24" s="77">
        <f t="shared" si="19"/>
        <v>2699.78</v>
      </c>
    </row>
    <row r="25" spans="1:39" x14ac:dyDescent="0.25">
      <c r="A25" s="119" t="s">
        <v>78</v>
      </c>
      <c r="B25" s="80">
        <v>23</v>
      </c>
      <c r="C25" s="75">
        <v>0.94</v>
      </c>
      <c r="D25" s="75">
        <v>0.97</v>
      </c>
      <c r="E25" s="75">
        <v>0.93</v>
      </c>
      <c r="F25" s="77">
        <f t="shared" si="26"/>
        <v>12709.11</v>
      </c>
      <c r="G25" s="77">
        <f t="shared" si="20"/>
        <v>7096.37</v>
      </c>
      <c r="H25" s="77">
        <f t="shared" si="27"/>
        <v>10427.084999999999</v>
      </c>
      <c r="I25" s="77">
        <f t="shared" si="28"/>
        <v>8908.5750000000007</v>
      </c>
      <c r="J25" s="77">
        <f t="shared" si="21"/>
        <v>5893.5249999999996</v>
      </c>
      <c r="K25" s="77">
        <f t="shared" si="29"/>
        <v>12373.875</v>
      </c>
      <c r="L25" s="77">
        <f t="shared" si="22"/>
        <v>6228.625</v>
      </c>
      <c r="M25" s="77">
        <f t="shared" si="30"/>
        <v>10089.719999999999</v>
      </c>
      <c r="N25" s="77">
        <f t="shared" si="31"/>
        <v>7806.71</v>
      </c>
      <c r="O25" s="77">
        <f t="shared" si="23"/>
        <v>5073.2839999999997</v>
      </c>
      <c r="P25" s="77">
        <f t="shared" si="32"/>
        <v>3784.8</v>
      </c>
      <c r="Q25" s="77">
        <f t="shared" si="33"/>
        <v>1748.78</v>
      </c>
      <c r="R25" s="77">
        <f t="shared" si="0"/>
        <v>12668.0625</v>
      </c>
      <c r="S25" s="77">
        <f t="shared" si="1"/>
        <v>10309.86</v>
      </c>
      <c r="T25" s="77">
        <f t="shared" si="2"/>
        <v>7952.1049999999996</v>
      </c>
      <c r="U25" s="77">
        <f t="shared" si="24"/>
        <v>4818.0349999999999</v>
      </c>
      <c r="V25" s="77">
        <f t="shared" si="3"/>
        <v>12668.0625</v>
      </c>
      <c r="W25" s="77">
        <f t="shared" si="4"/>
        <v>10309.86</v>
      </c>
      <c r="X25" s="77">
        <f t="shared" si="5"/>
        <v>6383.9575000000004</v>
      </c>
      <c r="Y25" s="77">
        <f t="shared" si="6"/>
        <v>7481.68</v>
      </c>
      <c r="Z25" s="77">
        <f t="shared" si="7"/>
        <v>6070.2174999999997</v>
      </c>
      <c r="AA25" s="77">
        <f t="shared" si="8"/>
        <v>3987.9364999999998</v>
      </c>
      <c r="AB25" s="77">
        <f t="shared" si="9"/>
        <v>2775.674</v>
      </c>
      <c r="AC25" s="77">
        <f t="shared" si="10"/>
        <v>12275.8125</v>
      </c>
      <c r="AD25" s="77">
        <f t="shared" si="11"/>
        <v>10016.34</v>
      </c>
      <c r="AE25" s="77">
        <f t="shared" si="12"/>
        <v>7758.2450000000008</v>
      </c>
      <c r="AF25" s="77">
        <f t="shared" si="25"/>
        <v>4753.415</v>
      </c>
      <c r="AG25" s="77">
        <f t="shared" si="13"/>
        <v>12275.8125</v>
      </c>
      <c r="AH25" s="77">
        <f t="shared" si="14"/>
        <v>10016.34</v>
      </c>
      <c r="AI25" s="77">
        <f t="shared" si="15"/>
        <v>6257.5675000000001</v>
      </c>
      <c r="AJ25" s="77">
        <f t="shared" si="16"/>
        <v>7307.92</v>
      </c>
      <c r="AK25" s="77">
        <f t="shared" si="17"/>
        <v>5957.5074999999997</v>
      </c>
      <c r="AL25" s="77">
        <f t="shared" si="18"/>
        <v>3917.9185000000002</v>
      </c>
      <c r="AM25" s="77">
        <f t="shared" si="19"/>
        <v>2732.306</v>
      </c>
    </row>
    <row r="26" spans="1:39" x14ac:dyDescent="0.25">
      <c r="A26" s="119" t="s">
        <v>101</v>
      </c>
      <c r="B26" s="80">
        <v>24</v>
      </c>
      <c r="C26" s="75">
        <v>0.91999999999999993</v>
      </c>
      <c r="D26" s="75">
        <v>0.97</v>
      </c>
      <c r="E26" s="75">
        <v>0.92</v>
      </c>
      <c r="F26" s="77">
        <f t="shared" si="26"/>
        <v>12529.98</v>
      </c>
      <c r="G26" s="77">
        <f t="shared" si="20"/>
        <v>7036.66</v>
      </c>
      <c r="H26" s="77">
        <f t="shared" si="27"/>
        <v>10297.529999999999</v>
      </c>
      <c r="I26" s="77">
        <f t="shared" si="28"/>
        <v>8812.3499999999985</v>
      </c>
      <c r="J26" s="77">
        <f t="shared" si="21"/>
        <v>5861.45</v>
      </c>
      <c r="K26" s="77">
        <f t="shared" si="29"/>
        <v>12177.749999999998</v>
      </c>
      <c r="L26" s="77">
        <f t="shared" si="22"/>
        <v>6163.25</v>
      </c>
      <c r="M26" s="77">
        <f t="shared" si="30"/>
        <v>9942.9599999999991</v>
      </c>
      <c r="N26" s="77">
        <f t="shared" si="31"/>
        <v>7709.78</v>
      </c>
      <c r="O26" s="77">
        <f t="shared" si="23"/>
        <v>5034.5119999999997</v>
      </c>
      <c r="P26" s="77">
        <f t="shared" si="32"/>
        <v>3752.3999999999996</v>
      </c>
      <c r="Q26" s="77">
        <f t="shared" si="33"/>
        <v>1735.04</v>
      </c>
      <c r="R26" s="77">
        <f t="shared" si="0"/>
        <v>12668.0625</v>
      </c>
      <c r="S26" s="77">
        <f t="shared" si="1"/>
        <v>10309.86</v>
      </c>
      <c r="T26" s="77">
        <f t="shared" si="2"/>
        <v>7952.1049999999996</v>
      </c>
      <c r="U26" s="77">
        <f t="shared" si="24"/>
        <v>4818.0349999999999</v>
      </c>
      <c r="V26" s="77">
        <f t="shared" si="3"/>
        <v>12668.0625</v>
      </c>
      <c r="W26" s="77">
        <f t="shared" si="4"/>
        <v>10309.86</v>
      </c>
      <c r="X26" s="77">
        <f t="shared" si="5"/>
        <v>6383.9575000000004</v>
      </c>
      <c r="Y26" s="77">
        <f t="shared" si="6"/>
        <v>7481.68</v>
      </c>
      <c r="Z26" s="77">
        <f t="shared" si="7"/>
        <v>6070.2174999999997</v>
      </c>
      <c r="AA26" s="77">
        <f t="shared" si="8"/>
        <v>3987.9364999999998</v>
      </c>
      <c r="AB26" s="77">
        <f t="shared" si="9"/>
        <v>2775.674</v>
      </c>
      <c r="AC26" s="77">
        <f t="shared" si="10"/>
        <v>12177.75</v>
      </c>
      <c r="AD26" s="77">
        <f t="shared" si="11"/>
        <v>9942.9600000000009</v>
      </c>
      <c r="AE26" s="77">
        <f t="shared" si="12"/>
        <v>7709.78</v>
      </c>
      <c r="AF26" s="77">
        <f t="shared" si="25"/>
        <v>4737.26</v>
      </c>
      <c r="AG26" s="77">
        <f t="shared" si="13"/>
        <v>12177.75</v>
      </c>
      <c r="AH26" s="77">
        <f t="shared" si="14"/>
        <v>9942.9600000000009</v>
      </c>
      <c r="AI26" s="77">
        <f t="shared" si="15"/>
        <v>6225.97</v>
      </c>
      <c r="AJ26" s="77">
        <f t="shared" si="16"/>
        <v>7264.48</v>
      </c>
      <c r="AK26" s="77">
        <f t="shared" si="17"/>
        <v>5929.33</v>
      </c>
      <c r="AL26" s="77">
        <f t="shared" si="18"/>
        <v>3900.4140000000002</v>
      </c>
      <c r="AM26" s="77">
        <f t="shared" si="19"/>
        <v>2721.4639999999999</v>
      </c>
    </row>
    <row r="27" spans="1:39" x14ac:dyDescent="0.25">
      <c r="A27" s="119" t="s">
        <v>43</v>
      </c>
      <c r="B27" s="80">
        <v>25</v>
      </c>
      <c r="C27" s="75">
        <v>0.99</v>
      </c>
      <c r="D27" s="75">
        <v>0.97</v>
      </c>
      <c r="E27" s="75">
        <v>0.91</v>
      </c>
      <c r="F27" s="77">
        <f t="shared" si="26"/>
        <v>13156.934999999999</v>
      </c>
      <c r="G27" s="77">
        <f t="shared" si="20"/>
        <v>7245.6450000000004</v>
      </c>
      <c r="H27" s="77">
        <f t="shared" si="27"/>
        <v>10750.9725</v>
      </c>
      <c r="I27" s="77">
        <f t="shared" si="28"/>
        <v>9149.1375000000007</v>
      </c>
      <c r="J27" s="77">
        <f t="shared" si="21"/>
        <v>5973.7124999999996</v>
      </c>
      <c r="K27" s="77">
        <f t="shared" si="29"/>
        <v>12864.1875</v>
      </c>
      <c r="L27" s="77">
        <f t="shared" si="22"/>
        <v>6392.0625</v>
      </c>
      <c r="M27" s="77">
        <f t="shared" si="30"/>
        <v>10456.619999999999</v>
      </c>
      <c r="N27" s="77">
        <f t="shared" si="31"/>
        <v>8049.0349999999999</v>
      </c>
      <c r="O27" s="77">
        <f t="shared" si="23"/>
        <v>5170.2139999999999</v>
      </c>
      <c r="P27" s="77">
        <f t="shared" si="32"/>
        <v>3865.8</v>
      </c>
      <c r="Q27" s="77">
        <f t="shared" si="33"/>
        <v>1783.13</v>
      </c>
      <c r="R27" s="77">
        <f t="shared" si="0"/>
        <v>12668.0625</v>
      </c>
      <c r="S27" s="77">
        <f t="shared" si="1"/>
        <v>10309.86</v>
      </c>
      <c r="T27" s="77">
        <f t="shared" si="2"/>
        <v>7952.1049999999996</v>
      </c>
      <c r="U27" s="77">
        <f t="shared" si="24"/>
        <v>4818.0349999999999</v>
      </c>
      <c r="V27" s="77">
        <f t="shared" si="3"/>
        <v>12668.0625</v>
      </c>
      <c r="W27" s="77">
        <f t="shared" si="4"/>
        <v>10309.86</v>
      </c>
      <c r="X27" s="77">
        <f t="shared" si="5"/>
        <v>6383.9575000000004</v>
      </c>
      <c r="Y27" s="77">
        <f t="shared" si="6"/>
        <v>7481.68</v>
      </c>
      <c r="Z27" s="77">
        <f t="shared" si="7"/>
        <v>6070.2174999999997</v>
      </c>
      <c r="AA27" s="77">
        <f t="shared" si="8"/>
        <v>3987.9364999999998</v>
      </c>
      <c r="AB27" s="77">
        <f t="shared" si="9"/>
        <v>2775.674</v>
      </c>
      <c r="AC27" s="77">
        <f t="shared" si="10"/>
        <v>12079.6875</v>
      </c>
      <c r="AD27" s="77">
        <f t="shared" si="11"/>
        <v>9869.58</v>
      </c>
      <c r="AE27" s="77">
        <f t="shared" si="12"/>
        <v>7661.3150000000005</v>
      </c>
      <c r="AF27" s="77">
        <f t="shared" si="25"/>
        <v>4721.1049999999996</v>
      </c>
      <c r="AG27" s="77">
        <f t="shared" si="13"/>
        <v>12079.6875</v>
      </c>
      <c r="AH27" s="77">
        <f t="shared" si="14"/>
        <v>9869.58</v>
      </c>
      <c r="AI27" s="77">
        <f t="shared" si="15"/>
        <v>6194.3724999999995</v>
      </c>
      <c r="AJ27" s="77">
        <f t="shared" si="16"/>
        <v>7221.04</v>
      </c>
      <c r="AK27" s="77">
        <f t="shared" si="17"/>
        <v>5901.1525000000001</v>
      </c>
      <c r="AL27" s="77">
        <f t="shared" si="18"/>
        <v>3882.9095000000002</v>
      </c>
      <c r="AM27" s="77">
        <f t="shared" si="19"/>
        <v>2710.6220000000003</v>
      </c>
    </row>
    <row r="28" spans="1:39" x14ac:dyDescent="0.25">
      <c r="A28" s="119" t="s">
        <v>63</v>
      </c>
      <c r="B28" s="80">
        <v>26</v>
      </c>
      <c r="C28" s="75">
        <v>0.95499999999999996</v>
      </c>
      <c r="D28" s="75">
        <v>0.95</v>
      </c>
      <c r="E28" s="75">
        <v>0.92</v>
      </c>
      <c r="F28" s="77">
        <f t="shared" si="26"/>
        <v>12843.457499999999</v>
      </c>
      <c r="G28" s="77">
        <f t="shared" si="20"/>
        <v>7141.1525000000001</v>
      </c>
      <c r="H28" s="77">
        <f t="shared" si="27"/>
        <v>10524.251249999999</v>
      </c>
      <c r="I28" s="77">
        <f t="shared" si="28"/>
        <v>8980.7437499999996</v>
      </c>
      <c r="J28" s="77">
        <f t="shared" si="21"/>
        <v>5917.5812500000002</v>
      </c>
      <c r="K28" s="77">
        <f t="shared" si="29"/>
        <v>12520.96875</v>
      </c>
      <c r="L28" s="77">
        <f t="shared" si="22"/>
        <v>6277.65625</v>
      </c>
      <c r="M28" s="77">
        <f t="shared" si="30"/>
        <v>10199.789999999999</v>
      </c>
      <c r="N28" s="77">
        <f t="shared" si="31"/>
        <v>7879.4075000000003</v>
      </c>
      <c r="O28" s="77">
        <f t="shared" si="23"/>
        <v>5102.3629999999994</v>
      </c>
      <c r="P28" s="77">
        <f t="shared" si="32"/>
        <v>3809.1</v>
      </c>
      <c r="Q28" s="77">
        <f t="shared" si="33"/>
        <v>1759.085</v>
      </c>
      <c r="R28" s="77">
        <f t="shared" si="0"/>
        <v>12471.9375</v>
      </c>
      <c r="S28" s="77">
        <f t="shared" si="1"/>
        <v>10163.099999999999</v>
      </c>
      <c r="T28" s="77">
        <f t="shared" si="2"/>
        <v>7855.1749999999993</v>
      </c>
      <c r="U28" s="77">
        <f t="shared" si="24"/>
        <v>4785.7250000000004</v>
      </c>
      <c r="V28" s="77">
        <f t="shared" si="3"/>
        <v>12471.9375</v>
      </c>
      <c r="W28" s="77">
        <f t="shared" si="4"/>
        <v>10163.099999999999</v>
      </c>
      <c r="X28" s="77">
        <f t="shared" si="5"/>
        <v>6320.7624999999998</v>
      </c>
      <c r="Y28" s="77">
        <f t="shared" si="6"/>
        <v>7394.8</v>
      </c>
      <c r="Z28" s="77">
        <f t="shared" si="7"/>
        <v>6013.8624999999993</v>
      </c>
      <c r="AA28" s="77">
        <f t="shared" si="8"/>
        <v>3952.9274999999998</v>
      </c>
      <c r="AB28" s="77">
        <f t="shared" si="9"/>
        <v>2753.99</v>
      </c>
      <c r="AC28" s="77">
        <f t="shared" si="10"/>
        <v>12177.75</v>
      </c>
      <c r="AD28" s="77">
        <f t="shared" si="11"/>
        <v>9942.9600000000009</v>
      </c>
      <c r="AE28" s="77">
        <f t="shared" si="12"/>
        <v>7709.78</v>
      </c>
      <c r="AF28" s="77">
        <f t="shared" si="25"/>
        <v>4737.26</v>
      </c>
      <c r="AG28" s="77">
        <f t="shared" si="13"/>
        <v>12177.75</v>
      </c>
      <c r="AH28" s="77">
        <f t="shared" si="14"/>
        <v>9942.9600000000009</v>
      </c>
      <c r="AI28" s="77">
        <f t="shared" si="15"/>
        <v>6225.97</v>
      </c>
      <c r="AJ28" s="77">
        <f t="shared" si="16"/>
        <v>7264.48</v>
      </c>
      <c r="AK28" s="77">
        <f t="shared" si="17"/>
        <v>5929.33</v>
      </c>
      <c r="AL28" s="77">
        <f t="shared" si="18"/>
        <v>3900.4140000000002</v>
      </c>
      <c r="AM28" s="77">
        <f t="shared" si="19"/>
        <v>2721.4639999999999</v>
      </c>
    </row>
    <row r="29" spans="1:39" x14ac:dyDescent="0.25">
      <c r="A29" s="119" t="s">
        <v>52</v>
      </c>
      <c r="B29" s="80">
        <v>27</v>
      </c>
      <c r="C29" s="75">
        <v>0.98</v>
      </c>
      <c r="D29" s="75">
        <v>0.96</v>
      </c>
      <c r="E29" s="75">
        <v>0.91</v>
      </c>
      <c r="F29" s="77">
        <f t="shared" si="26"/>
        <v>13067.369999999999</v>
      </c>
      <c r="G29" s="77">
        <f t="shared" si="20"/>
        <v>7215.79</v>
      </c>
      <c r="H29" s="77">
        <f t="shared" si="27"/>
        <v>10686.195</v>
      </c>
      <c r="I29" s="77">
        <f t="shared" si="28"/>
        <v>9101.0249999999996</v>
      </c>
      <c r="J29" s="77">
        <f t="shared" si="21"/>
        <v>5957.6750000000002</v>
      </c>
      <c r="K29" s="77">
        <f t="shared" si="29"/>
        <v>12766.125</v>
      </c>
      <c r="L29" s="77">
        <f t="shared" si="22"/>
        <v>6359.375</v>
      </c>
      <c r="M29" s="77">
        <f t="shared" si="30"/>
        <v>10383.24</v>
      </c>
      <c r="N29" s="77">
        <f t="shared" si="31"/>
        <v>8000.57</v>
      </c>
      <c r="O29" s="77">
        <f t="shared" si="23"/>
        <v>5150.8279999999995</v>
      </c>
      <c r="P29" s="77">
        <f t="shared" si="32"/>
        <v>3849.6</v>
      </c>
      <c r="Q29" s="77">
        <f t="shared" si="33"/>
        <v>1776.2599999999998</v>
      </c>
      <c r="R29" s="77">
        <f t="shared" si="0"/>
        <v>12570</v>
      </c>
      <c r="S29" s="77">
        <f t="shared" si="1"/>
        <v>10236.48</v>
      </c>
      <c r="T29" s="77">
        <f t="shared" si="2"/>
        <v>7903.6399999999994</v>
      </c>
      <c r="U29" s="77">
        <f t="shared" si="24"/>
        <v>4801.88</v>
      </c>
      <c r="V29" s="77">
        <f t="shared" si="3"/>
        <v>12570</v>
      </c>
      <c r="W29" s="77">
        <f t="shared" si="4"/>
        <v>10236.48</v>
      </c>
      <c r="X29" s="77">
        <f t="shared" si="5"/>
        <v>6352.36</v>
      </c>
      <c r="Y29" s="77">
        <f t="shared" si="6"/>
        <v>7438.24</v>
      </c>
      <c r="Z29" s="77">
        <f t="shared" si="7"/>
        <v>6042.04</v>
      </c>
      <c r="AA29" s="77">
        <f t="shared" si="8"/>
        <v>3970.4319999999998</v>
      </c>
      <c r="AB29" s="77">
        <f t="shared" si="9"/>
        <v>2764.8320000000003</v>
      </c>
      <c r="AC29" s="77">
        <f t="shared" si="10"/>
        <v>12079.6875</v>
      </c>
      <c r="AD29" s="77">
        <f t="shared" si="11"/>
        <v>9869.58</v>
      </c>
      <c r="AE29" s="77">
        <f t="shared" si="12"/>
        <v>7661.3150000000005</v>
      </c>
      <c r="AF29" s="77">
        <f t="shared" si="25"/>
        <v>4721.1049999999996</v>
      </c>
      <c r="AG29" s="77">
        <f t="shared" si="13"/>
        <v>12079.6875</v>
      </c>
      <c r="AH29" s="77">
        <f t="shared" si="14"/>
        <v>9869.58</v>
      </c>
      <c r="AI29" s="77">
        <f t="shared" si="15"/>
        <v>6194.3724999999995</v>
      </c>
      <c r="AJ29" s="77">
        <f t="shared" si="16"/>
        <v>7221.04</v>
      </c>
      <c r="AK29" s="77">
        <f t="shared" si="17"/>
        <v>5901.1525000000001</v>
      </c>
      <c r="AL29" s="77">
        <f t="shared" si="18"/>
        <v>3882.9095000000002</v>
      </c>
      <c r="AM29" s="77">
        <f t="shared" si="19"/>
        <v>2710.6220000000003</v>
      </c>
    </row>
    <row r="30" spans="1:39" x14ac:dyDescent="0.25">
      <c r="A30" s="119" t="s">
        <v>97</v>
      </c>
      <c r="B30" s="80">
        <v>28</v>
      </c>
      <c r="C30" s="75">
        <v>0.91999999999999993</v>
      </c>
      <c r="D30" s="75">
        <v>0.97</v>
      </c>
      <c r="E30" s="75">
        <v>0.91</v>
      </c>
      <c r="F30" s="77">
        <f t="shared" si="26"/>
        <v>12529.98</v>
      </c>
      <c r="G30" s="77">
        <f t="shared" si="20"/>
        <v>7036.66</v>
      </c>
      <c r="H30" s="77">
        <f t="shared" si="27"/>
        <v>10297.529999999999</v>
      </c>
      <c r="I30" s="77">
        <f t="shared" si="28"/>
        <v>8812.3499999999985</v>
      </c>
      <c r="J30" s="77">
        <f t="shared" si="21"/>
        <v>5861.45</v>
      </c>
      <c r="K30" s="77">
        <f t="shared" si="29"/>
        <v>12177.749999999998</v>
      </c>
      <c r="L30" s="77">
        <f t="shared" si="22"/>
        <v>6163.25</v>
      </c>
      <c r="M30" s="77">
        <f t="shared" si="30"/>
        <v>9942.9599999999991</v>
      </c>
      <c r="N30" s="77">
        <f t="shared" si="31"/>
        <v>7709.78</v>
      </c>
      <c r="O30" s="77">
        <f t="shared" si="23"/>
        <v>5034.5119999999997</v>
      </c>
      <c r="P30" s="77">
        <f t="shared" si="32"/>
        <v>3752.3999999999996</v>
      </c>
      <c r="Q30" s="77">
        <f t="shared" si="33"/>
        <v>1735.04</v>
      </c>
      <c r="R30" s="77">
        <f t="shared" si="0"/>
        <v>12668.0625</v>
      </c>
      <c r="S30" s="77">
        <f t="shared" si="1"/>
        <v>10309.86</v>
      </c>
      <c r="T30" s="77">
        <f t="shared" si="2"/>
        <v>7952.1049999999996</v>
      </c>
      <c r="U30" s="77">
        <f t="shared" si="24"/>
        <v>4818.0349999999999</v>
      </c>
      <c r="V30" s="77">
        <f t="shared" si="3"/>
        <v>12668.0625</v>
      </c>
      <c r="W30" s="77">
        <f t="shared" si="4"/>
        <v>10309.86</v>
      </c>
      <c r="X30" s="77">
        <f t="shared" si="5"/>
        <v>6383.9575000000004</v>
      </c>
      <c r="Y30" s="77">
        <f t="shared" si="6"/>
        <v>7481.68</v>
      </c>
      <c r="Z30" s="77">
        <f t="shared" si="7"/>
        <v>6070.2174999999997</v>
      </c>
      <c r="AA30" s="77">
        <f t="shared" si="8"/>
        <v>3987.9364999999998</v>
      </c>
      <c r="AB30" s="77">
        <f t="shared" si="9"/>
        <v>2775.674</v>
      </c>
      <c r="AC30" s="77">
        <f t="shared" si="10"/>
        <v>12079.6875</v>
      </c>
      <c r="AD30" s="77">
        <f t="shared" si="11"/>
        <v>9869.58</v>
      </c>
      <c r="AE30" s="77">
        <f t="shared" si="12"/>
        <v>7661.3150000000005</v>
      </c>
      <c r="AF30" s="77">
        <f t="shared" si="25"/>
        <v>4721.1049999999996</v>
      </c>
      <c r="AG30" s="77">
        <f t="shared" si="13"/>
        <v>12079.6875</v>
      </c>
      <c r="AH30" s="77">
        <f t="shared" si="14"/>
        <v>9869.58</v>
      </c>
      <c r="AI30" s="77">
        <f t="shared" si="15"/>
        <v>6194.3724999999995</v>
      </c>
      <c r="AJ30" s="77">
        <f t="shared" si="16"/>
        <v>7221.04</v>
      </c>
      <c r="AK30" s="77">
        <f t="shared" si="17"/>
        <v>5901.1525000000001</v>
      </c>
      <c r="AL30" s="77">
        <f t="shared" si="18"/>
        <v>3882.9095000000002</v>
      </c>
      <c r="AM30" s="77">
        <f t="shared" si="19"/>
        <v>2710.6220000000003</v>
      </c>
    </row>
    <row r="31" spans="1:39" x14ac:dyDescent="0.25">
      <c r="A31" s="119" t="s">
        <v>114</v>
      </c>
      <c r="B31" s="80">
        <v>29</v>
      </c>
      <c r="C31" s="75">
        <v>0.88</v>
      </c>
      <c r="D31" s="75">
        <v>0.96</v>
      </c>
      <c r="E31" s="75">
        <v>0.93</v>
      </c>
      <c r="F31" s="77">
        <f t="shared" si="26"/>
        <v>12171.720000000001</v>
      </c>
      <c r="G31" s="77">
        <f t="shared" si="20"/>
        <v>6917.24</v>
      </c>
      <c r="H31" s="77">
        <f t="shared" si="27"/>
        <v>10038.42</v>
      </c>
      <c r="I31" s="77">
        <f t="shared" si="28"/>
        <v>8619.9</v>
      </c>
      <c r="J31" s="77">
        <f t="shared" si="21"/>
        <v>5797.3</v>
      </c>
      <c r="K31" s="77">
        <f t="shared" si="29"/>
        <v>11785.5</v>
      </c>
      <c r="L31" s="77">
        <f t="shared" si="22"/>
        <v>6032.5</v>
      </c>
      <c r="M31" s="77">
        <f t="shared" si="30"/>
        <v>9649.44</v>
      </c>
      <c r="N31" s="77">
        <f t="shared" si="31"/>
        <v>7515.92</v>
      </c>
      <c r="O31" s="77">
        <f t="shared" si="23"/>
        <v>4956.9679999999998</v>
      </c>
      <c r="P31" s="77">
        <f t="shared" si="32"/>
        <v>3687.6</v>
      </c>
      <c r="Q31" s="77">
        <f t="shared" si="33"/>
        <v>1707.56</v>
      </c>
      <c r="R31" s="77">
        <f t="shared" si="0"/>
        <v>12570</v>
      </c>
      <c r="S31" s="77">
        <f t="shared" si="1"/>
        <v>10236.48</v>
      </c>
      <c r="T31" s="77">
        <f t="shared" si="2"/>
        <v>7903.6399999999994</v>
      </c>
      <c r="U31" s="77">
        <f t="shared" si="24"/>
        <v>4801.88</v>
      </c>
      <c r="V31" s="77">
        <f t="shared" si="3"/>
        <v>12570</v>
      </c>
      <c r="W31" s="77">
        <f t="shared" si="4"/>
        <v>10236.48</v>
      </c>
      <c r="X31" s="77">
        <f t="shared" si="5"/>
        <v>6352.36</v>
      </c>
      <c r="Y31" s="77">
        <f t="shared" si="6"/>
        <v>7438.24</v>
      </c>
      <c r="Z31" s="77">
        <f t="shared" si="7"/>
        <v>6042.04</v>
      </c>
      <c r="AA31" s="77">
        <f t="shared" si="8"/>
        <v>3970.4319999999998</v>
      </c>
      <c r="AB31" s="77">
        <f t="shared" si="9"/>
        <v>2764.8320000000003</v>
      </c>
      <c r="AC31" s="77">
        <f t="shared" si="10"/>
        <v>12275.8125</v>
      </c>
      <c r="AD31" s="77">
        <f t="shared" si="11"/>
        <v>10016.34</v>
      </c>
      <c r="AE31" s="77">
        <f t="shared" si="12"/>
        <v>7758.2450000000008</v>
      </c>
      <c r="AF31" s="77">
        <f t="shared" si="25"/>
        <v>4753.415</v>
      </c>
      <c r="AG31" s="77">
        <f t="shared" si="13"/>
        <v>12275.8125</v>
      </c>
      <c r="AH31" s="77">
        <f t="shared" si="14"/>
        <v>10016.34</v>
      </c>
      <c r="AI31" s="77">
        <f t="shared" si="15"/>
        <v>6257.5675000000001</v>
      </c>
      <c r="AJ31" s="77">
        <f t="shared" si="16"/>
        <v>7307.92</v>
      </c>
      <c r="AK31" s="77">
        <f t="shared" si="17"/>
        <v>5957.5074999999997</v>
      </c>
      <c r="AL31" s="77">
        <f t="shared" si="18"/>
        <v>3917.9185000000002</v>
      </c>
      <c r="AM31" s="77">
        <f t="shared" si="19"/>
        <v>2732.306</v>
      </c>
    </row>
    <row r="32" spans="1:39" x14ac:dyDescent="0.25">
      <c r="A32" s="119" t="s">
        <v>100</v>
      </c>
      <c r="B32" s="80">
        <v>30</v>
      </c>
      <c r="C32" s="75">
        <v>0.90500000000000003</v>
      </c>
      <c r="D32" s="75">
        <v>0.97</v>
      </c>
      <c r="E32" s="75">
        <v>0.94</v>
      </c>
      <c r="F32" s="77">
        <f t="shared" si="26"/>
        <v>12395.6325</v>
      </c>
      <c r="G32" s="77">
        <f t="shared" si="20"/>
        <v>6991.8775000000005</v>
      </c>
      <c r="H32" s="77">
        <f t="shared" si="27"/>
        <v>10200.36375</v>
      </c>
      <c r="I32" s="77">
        <f t="shared" si="28"/>
        <v>8740.1812500000015</v>
      </c>
      <c r="J32" s="77">
        <f t="shared" si="21"/>
        <v>5837.3937500000002</v>
      </c>
      <c r="K32" s="77">
        <f t="shared" si="29"/>
        <v>12030.65625</v>
      </c>
      <c r="L32" s="77">
        <f t="shared" si="22"/>
        <v>6114.21875</v>
      </c>
      <c r="M32" s="77">
        <f t="shared" si="30"/>
        <v>9832.89</v>
      </c>
      <c r="N32" s="77">
        <f t="shared" si="31"/>
        <v>7637.0825000000004</v>
      </c>
      <c r="O32" s="77">
        <f t="shared" si="23"/>
        <v>5005.433</v>
      </c>
      <c r="P32" s="77">
        <f t="shared" si="32"/>
        <v>3728.1</v>
      </c>
      <c r="Q32" s="77">
        <f t="shared" si="33"/>
        <v>1724.7350000000001</v>
      </c>
      <c r="R32" s="77">
        <f t="shared" si="0"/>
        <v>12668.0625</v>
      </c>
      <c r="S32" s="77">
        <f t="shared" si="1"/>
        <v>10309.86</v>
      </c>
      <c r="T32" s="77">
        <f t="shared" si="2"/>
        <v>7952.1049999999996</v>
      </c>
      <c r="U32" s="77">
        <f t="shared" si="24"/>
        <v>4818.0349999999999</v>
      </c>
      <c r="V32" s="77">
        <f t="shared" si="3"/>
        <v>12668.0625</v>
      </c>
      <c r="W32" s="77">
        <f t="shared" si="4"/>
        <v>10309.86</v>
      </c>
      <c r="X32" s="77">
        <f t="shared" si="5"/>
        <v>6383.9575000000004</v>
      </c>
      <c r="Y32" s="77">
        <f t="shared" si="6"/>
        <v>7481.68</v>
      </c>
      <c r="Z32" s="77">
        <f t="shared" si="7"/>
        <v>6070.2174999999997</v>
      </c>
      <c r="AA32" s="77">
        <f t="shared" si="8"/>
        <v>3987.9364999999998</v>
      </c>
      <c r="AB32" s="77">
        <f t="shared" si="9"/>
        <v>2775.674</v>
      </c>
      <c r="AC32" s="77">
        <f t="shared" si="10"/>
        <v>12373.875</v>
      </c>
      <c r="AD32" s="77">
        <f t="shared" si="11"/>
        <v>10089.719999999999</v>
      </c>
      <c r="AE32" s="77">
        <f t="shared" si="12"/>
        <v>7806.71</v>
      </c>
      <c r="AF32" s="77">
        <f t="shared" si="25"/>
        <v>4769.57</v>
      </c>
      <c r="AG32" s="77">
        <f t="shared" si="13"/>
        <v>12373.875</v>
      </c>
      <c r="AH32" s="77">
        <f t="shared" si="14"/>
        <v>10089.719999999999</v>
      </c>
      <c r="AI32" s="77">
        <f t="shared" si="15"/>
        <v>6289.165</v>
      </c>
      <c r="AJ32" s="77">
        <f t="shared" si="16"/>
        <v>7351.36</v>
      </c>
      <c r="AK32" s="77">
        <f t="shared" si="17"/>
        <v>5985.6849999999995</v>
      </c>
      <c r="AL32" s="77">
        <f t="shared" si="18"/>
        <v>3935.4229999999998</v>
      </c>
      <c r="AM32" s="77">
        <f t="shared" si="19"/>
        <v>2743.1480000000001</v>
      </c>
    </row>
    <row r="33" spans="1:39" x14ac:dyDescent="0.25">
      <c r="A33" s="119" t="s">
        <v>44</v>
      </c>
      <c r="B33" s="80">
        <v>31</v>
      </c>
      <c r="C33" s="75">
        <v>0.97</v>
      </c>
      <c r="D33" s="75">
        <v>0.98</v>
      </c>
      <c r="E33" s="75">
        <v>0.91</v>
      </c>
      <c r="F33" s="77">
        <f t="shared" si="26"/>
        <v>12977.805</v>
      </c>
      <c r="G33" s="77">
        <f t="shared" si="20"/>
        <v>7185.9349999999995</v>
      </c>
      <c r="H33" s="77">
        <f t="shared" si="27"/>
        <v>10621.4175</v>
      </c>
      <c r="I33" s="77">
        <f t="shared" si="28"/>
        <v>9052.9124999999985</v>
      </c>
      <c r="J33" s="77">
        <f t="shared" si="21"/>
        <v>5941.6374999999998</v>
      </c>
      <c r="K33" s="77">
        <f t="shared" si="29"/>
        <v>12668.0625</v>
      </c>
      <c r="L33" s="77">
        <f t="shared" si="22"/>
        <v>6326.6875</v>
      </c>
      <c r="M33" s="77">
        <f t="shared" si="30"/>
        <v>10309.86</v>
      </c>
      <c r="N33" s="77">
        <f t="shared" si="31"/>
        <v>7952.1049999999996</v>
      </c>
      <c r="O33" s="77">
        <f t="shared" si="23"/>
        <v>5131.442</v>
      </c>
      <c r="P33" s="77">
        <f t="shared" si="32"/>
        <v>3833.3999999999996</v>
      </c>
      <c r="Q33" s="77">
        <f t="shared" si="33"/>
        <v>1769.3899999999999</v>
      </c>
      <c r="R33" s="77">
        <f t="shared" si="0"/>
        <v>12766.125</v>
      </c>
      <c r="S33" s="77">
        <f t="shared" si="1"/>
        <v>10383.24</v>
      </c>
      <c r="T33" s="77">
        <f t="shared" si="2"/>
        <v>8000.57</v>
      </c>
      <c r="U33" s="77">
        <f t="shared" si="24"/>
        <v>4834.1900000000005</v>
      </c>
      <c r="V33" s="77">
        <f t="shared" si="3"/>
        <v>12766.125</v>
      </c>
      <c r="W33" s="77">
        <f t="shared" si="4"/>
        <v>10383.24</v>
      </c>
      <c r="X33" s="77">
        <f t="shared" si="5"/>
        <v>6415.5550000000003</v>
      </c>
      <c r="Y33" s="77">
        <f t="shared" si="6"/>
        <v>7525.12</v>
      </c>
      <c r="Z33" s="77">
        <f t="shared" si="7"/>
        <v>6098.3950000000004</v>
      </c>
      <c r="AA33" s="77">
        <f t="shared" si="8"/>
        <v>4005.4409999999998</v>
      </c>
      <c r="AB33" s="77">
        <f t="shared" si="9"/>
        <v>2786.5160000000001</v>
      </c>
      <c r="AC33" s="77">
        <f t="shared" si="10"/>
        <v>12079.6875</v>
      </c>
      <c r="AD33" s="77">
        <f t="shared" si="11"/>
        <v>9869.58</v>
      </c>
      <c r="AE33" s="77">
        <f t="shared" si="12"/>
        <v>7661.3150000000005</v>
      </c>
      <c r="AF33" s="77">
        <f t="shared" si="25"/>
        <v>4721.1049999999996</v>
      </c>
      <c r="AG33" s="77">
        <f t="shared" si="13"/>
        <v>12079.6875</v>
      </c>
      <c r="AH33" s="77">
        <f t="shared" si="14"/>
        <v>9869.58</v>
      </c>
      <c r="AI33" s="77">
        <f t="shared" si="15"/>
        <v>6194.3724999999995</v>
      </c>
      <c r="AJ33" s="77">
        <f t="shared" si="16"/>
        <v>7221.04</v>
      </c>
      <c r="AK33" s="77">
        <f t="shared" si="17"/>
        <v>5901.1525000000001</v>
      </c>
      <c r="AL33" s="77">
        <f t="shared" si="18"/>
        <v>3882.9095000000002</v>
      </c>
      <c r="AM33" s="77">
        <f t="shared" si="19"/>
        <v>2710.6220000000003</v>
      </c>
    </row>
    <row r="34" spans="1:39" x14ac:dyDescent="0.25">
      <c r="A34" s="119" t="s">
        <v>87</v>
      </c>
      <c r="B34" s="80">
        <v>32</v>
      </c>
      <c r="C34" s="75">
        <v>0.90999999999999992</v>
      </c>
      <c r="D34" s="75">
        <v>0.97</v>
      </c>
      <c r="E34" s="75">
        <v>0.94</v>
      </c>
      <c r="F34" s="77">
        <f t="shared" si="26"/>
        <v>12440.414999999999</v>
      </c>
      <c r="G34" s="77">
        <f t="shared" si="20"/>
        <v>7006.8050000000003</v>
      </c>
      <c r="H34" s="77">
        <f t="shared" si="27"/>
        <v>10232.752499999999</v>
      </c>
      <c r="I34" s="77">
        <f t="shared" si="28"/>
        <v>8764.2374999999993</v>
      </c>
      <c r="J34" s="77">
        <f t="shared" si="21"/>
        <v>5845.4125000000004</v>
      </c>
      <c r="K34" s="77">
        <f t="shared" si="29"/>
        <v>12079.687499999998</v>
      </c>
      <c r="L34" s="77">
        <f t="shared" si="22"/>
        <v>6130.5625</v>
      </c>
      <c r="M34" s="77">
        <f t="shared" si="30"/>
        <v>9869.5799999999981</v>
      </c>
      <c r="N34" s="77">
        <f t="shared" si="31"/>
        <v>7661.3149999999996</v>
      </c>
      <c r="O34" s="77">
        <f t="shared" si="23"/>
        <v>5015.1260000000002</v>
      </c>
      <c r="P34" s="77">
        <f t="shared" si="32"/>
        <v>3736.2</v>
      </c>
      <c r="Q34" s="77">
        <f t="shared" si="33"/>
        <v>1728.1699999999998</v>
      </c>
      <c r="R34" s="77">
        <f t="shared" si="0"/>
        <v>12668.0625</v>
      </c>
      <c r="S34" s="77">
        <f t="shared" si="1"/>
        <v>10309.86</v>
      </c>
      <c r="T34" s="77">
        <f t="shared" si="2"/>
        <v>7952.1049999999996</v>
      </c>
      <c r="U34" s="77">
        <f t="shared" si="24"/>
        <v>4818.0349999999999</v>
      </c>
      <c r="V34" s="77">
        <f t="shared" si="3"/>
        <v>12668.0625</v>
      </c>
      <c r="W34" s="77">
        <f t="shared" si="4"/>
        <v>10309.86</v>
      </c>
      <c r="X34" s="77">
        <f t="shared" si="5"/>
        <v>6383.9575000000004</v>
      </c>
      <c r="Y34" s="77">
        <f t="shared" si="6"/>
        <v>7481.68</v>
      </c>
      <c r="Z34" s="77">
        <f t="shared" si="7"/>
        <v>6070.2174999999997</v>
      </c>
      <c r="AA34" s="77">
        <f t="shared" si="8"/>
        <v>3987.9364999999998</v>
      </c>
      <c r="AB34" s="77">
        <f t="shared" si="9"/>
        <v>2775.674</v>
      </c>
      <c r="AC34" s="77">
        <f t="shared" si="10"/>
        <v>12373.875</v>
      </c>
      <c r="AD34" s="77">
        <f t="shared" si="11"/>
        <v>10089.719999999999</v>
      </c>
      <c r="AE34" s="77">
        <f t="shared" si="12"/>
        <v>7806.71</v>
      </c>
      <c r="AF34" s="77">
        <f t="shared" si="25"/>
        <v>4769.57</v>
      </c>
      <c r="AG34" s="77">
        <f t="shared" si="13"/>
        <v>12373.875</v>
      </c>
      <c r="AH34" s="77">
        <f t="shared" si="14"/>
        <v>10089.719999999999</v>
      </c>
      <c r="AI34" s="77">
        <f t="shared" si="15"/>
        <v>6289.165</v>
      </c>
      <c r="AJ34" s="77">
        <f t="shared" si="16"/>
        <v>7351.36</v>
      </c>
      <c r="AK34" s="77">
        <f t="shared" si="17"/>
        <v>5985.6849999999995</v>
      </c>
      <c r="AL34" s="77">
        <f t="shared" si="18"/>
        <v>3935.4229999999998</v>
      </c>
      <c r="AM34" s="77">
        <f t="shared" si="19"/>
        <v>2743.1480000000001</v>
      </c>
    </row>
    <row r="35" spans="1:39" x14ac:dyDescent="0.25">
      <c r="A35" s="119" t="s">
        <v>46</v>
      </c>
      <c r="B35" s="80">
        <v>33</v>
      </c>
      <c r="C35" s="75">
        <v>0.96500000000000008</v>
      </c>
      <c r="D35" s="75">
        <v>0.97</v>
      </c>
      <c r="E35" s="75">
        <v>0.92</v>
      </c>
      <c r="F35" s="77">
        <f t="shared" ref="F35:F66" si="34">4290+11942*C35*$F$2</f>
        <v>12933.022500000001</v>
      </c>
      <c r="G35" s="77">
        <f t="shared" si="20"/>
        <v>7171.0074999999997</v>
      </c>
      <c r="H35" s="77">
        <f t="shared" ref="H35:H66" si="35">4338+8637*$H$2*C35</f>
        <v>10589.028750000001</v>
      </c>
      <c r="I35" s="77">
        <f t="shared" ref="I35:I66" si="36">4386+6415*$I$2*C35</f>
        <v>9028.8562500000007</v>
      </c>
      <c r="J35" s="77">
        <f t="shared" si="21"/>
        <v>5933.6187499999996</v>
      </c>
      <c r="K35" s="77">
        <f t="shared" ref="K35:K66" si="37">3156+13075*C35*$K$2</f>
        <v>12619.031250000002</v>
      </c>
      <c r="L35" s="77">
        <f t="shared" si="22"/>
        <v>6310.34375</v>
      </c>
      <c r="M35" s="77">
        <f t="shared" ref="M35:M66" si="38">3192+9784*C35*$M$2</f>
        <v>10273.170000000002</v>
      </c>
      <c r="N35" s="77">
        <f t="shared" ref="N35:N66" si="39">3251+6462*$N$2*C35</f>
        <v>7927.8725000000004</v>
      </c>
      <c r="O35" s="77">
        <f t="shared" si="23"/>
        <v>5121.7489999999998</v>
      </c>
      <c r="P35" s="77">
        <f t="shared" ref="P35:P66" si="40">2262+2700*C35*$P$2</f>
        <v>3825.3</v>
      </c>
      <c r="Q35" s="77">
        <f t="shared" ref="Q35:Q66" si="41">1103+1145*C35*$Q$2</f>
        <v>1765.9549999999999</v>
      </c>
      <c r="R35" s="77">
        <f t="shared" ref="R35:R66" si="42">3156+13075*D35*$R$2</f>
        <v>12668.0625</v>
      </c>
      <c r="S35" s="77">
        <f t="shared" ref="S35:S66" si="43">3192+9784*D35*$S$2</f>
        <v>10309.86</v>
      </c>
      <c r="T35" s="77">
        <f t="shared" ref="T35:T66" si="44">3251+6462*D35*$T$2</f>
        <v>7952.1049999999996</v>
      </c>
      <c r="U35" s="77">
        <f t="shared" si="24"/>
        <v>4818.0349999999999</v>
      </c>
      <c r="V35" s="77">
        <f t="shared" ref="V35:V66" si="45">3156+13075*D35*$V$2</f>
        <v>12668.0625</v>
      </c>
      <c r="W35" s="77">
        <f t="shared" ref="W35:W66" si="46">3192+9784*D35*$W$2</f>
        <v>10309.86</v>
      </c>
      <c r="X35" s="77">
        <f t="shared" ref="X35:X66" si="47">3319+4213*$X$2*D35</f>
        <v>6383.9575000000004</v>
      </c>
      <c r="Y35" s="77">
        <f t="shared" ref="Y35:Y66" si="48">3268+5792*$Y$2*D35</f>
        <v>7481.68</v>
      </c>
      <c r="Z35" s="77">
        <f t="shared" ref="Z35:Z66" si="49">3337+3757*$Z$2*D35</f>
        <v>6070.2174999999997</v>
      </c>
      <c r="AA35" s="77">
        <f t="shared" ref="AA35:AA66" si="50">2290+2693*$AA$2*D35</f>
        <v>3987.9364999999998</v>
      </c>
      <c r="AB35" s="77">
        <f t="shared" ref="AB35:AB66" si="51">1724+1668*$AB$2*D35</f>
        <v>2775.674</v>
      </c>
      <c r="AC35" s="77">
        <f t="shared" ref="AC35:AC66" si="52">3156+13075*E35*$R$2</f>
        <v>12177.75</v>
      </c>
      <c r="AD35" s="77">
        <f t="shared" ref="AD35:AD66" si="53">3192+9784*E35*$S$2</f>
        <v>9942.9600000000009</v>
      </c>
      <c r="AE35" s="77">
        <f t="shared" ref="AE35:AE66" si="54">3251+6462*E35*$T$2</f>
        <v>7709.78</v>
      </c>
      <c r="AF35" s="77">
        <f t="shared" si="25"/>
        <v>4737.26</v>
      </c>
      <c r="AG35" s="77">
        <f t="shared" ref="AG35:AG66" si="55">3156+13075*E35*$V$2</f>
        <v>12177.75</v>
      </c>
      <c r="AH35" s="77">
        <f t="shared" ref="AH35:AH66" si="56">3192+9784*E35*$W$2</f>
        <v>9942.9600000000009</v>
      </c>
      <c r="AI35" s="77">
        <f t="shared" ref="AI35:AI66" si="57">3319+4213*$X$2*E35</f>
        <v>6225.97</v>
      </c>
      <c r="AJ35" s="77">
        <f t="shared" ref="AJ35:AJ66" si="58">3268+5792*$Y$2*E35</f>
        <v>7264.48</v>
      </c>
      <c r="AK35" s="77">
        <f t="shared" ref="AK35:AK66" si="59">3337+3757*$Z$2*E35</f>
        <v>5929.33</v>
      </c>
      <c r="AL35" s="77">
        <f t="shared" ref="AL35:AL66" si="60">2290+2693*$AA$2*E35</f>
        <v>3900.4140000000002</v>
      </c>
      <c r="AM35" s="77">
        <f t="shared" ref="AM35:AM66" si="61">1724+1668*$AB$2*E35</f>
        <v>2721.4639999999999</v>
      </c>
    </row>
    <row r="36" spans="1:39" x14ac:dyDescent="0.25">
      <c r="A36" s="119" t="s">
        <v>60</v>
      </c>
      <c r="B36" s="80">
        <v>34</v>
      </c>
      <c r="C36" s="75">
        <v>0.92500000000000004</v>
      </c>
      <c r="D36" s="75">
        <v>0.96</v>
      </c>
      <c r="E36" s="75">
        <v>0.86</v>
      </c>
      <c r="F36" s="77">
        <f t="shared" si="34"/>
        <v>12574.762500000001</v>
      </c>
      <c r="G36" s="77">
        <f t="shared" si="20"/>
        <v>7051.5874999999996</v>
      </c>
      <c r="H36" s="77">
        <f t="shared" si="35"/>
        <v>10329.918750000001</v>
      </c>
      <c r="I36" s="77">
        <f t="shared" si="36"/>
        <v>8836.40625</v>
      </c>
      <c r="J36" s="77">
        <f t="shared" si="21"/>
        <v>5869.46875</v>
      </c>
      <c r="K36" s="77">
        <f t="shared" si="37"/>
        <v>12226.78125</v>
      </c>
      <c r="L36" s="77">
        <f t="shared" si="22"/>
        <v>6179.59375</v>
      </c>
      <c r="M36" s="77">
        <f t="shared" si="38"/>
        <v>9979.6500000000015</v>
      </c>
      <c r="N36" s="77">
        <f t="shared" si="39"/>
        <v>7734.0124999999998</v>
      </c>
      <c r="O36" s="77">
        <f t="shared" si="23"/>
        <v>5044.2049999999999</v>
      </c>
      <c r="P36" s="77">
        <f t="shared" si="40"/>
        <v>3760.5</v>
      </c>
      <c r="Q36" s="77">
        <f t="shared" si="41"/>
        <v>1738.4749999999999</v>
      </c>
      <c r="R36" s="77">
        <f t="shared" si="42"/>
        <v>12570</v>
      </c>
      <c r="S36" s="77">
        <f t="shared" si="43"/>
        <v>10236.48</v>
      </c>
      <c r="T36" s="77">
        <f t="shared" si="44"/>
        <v>7903.6399999999994</v>
      </c>
      <c r="U36" s="77">
        <f t="shared" si="24"/>
        <v>4801.88</v>
      </c>
      <c r="V36" s="77">
        <f t="shared" si="45"/>
        <v>12570</v>
      </c>
      <c r="W36" s="77">
        <f t="shared" si="46"/>
        <v>10236.48</v>
      </c>
      <c r="X36" s="77">
        <f t="shared" si="47"/>
        <v>6352.36</v>
      </c>
      <c r="Y36" s="77">
        <f t="shared" si="48"/>
        <v>7438.24</v>
      </c>
      <c r="Z36" s="77">
        <f t="shared" si="49"/>
        <v>6042.04</v>
      </c>
      <c r="AA36" s="77">
        <f t="shared" si="50"/>
        <v>3970.4319999999998</v>
      </c>
      <c r="AB36" s="77">
        <f t="shared" si="51"/>
        <v>2764.8320000000003</v>
      </c>
      <c r="AC36" s="77">
        <f t="shared" si="52"/>
        <v>11589.375</v>
      </c>
      <c r="AD36" s="77">
        <f t="shared" si="53"/>
        <v>9502.68</v>
      </c>
      <c r="AE36" s="77">
        <f t="shared" si="54"/>
        <v>7418.99</v>
      </c>
      <c r="AF36" s="77">
        <f t="shared" si="25"/>
        <v>4640.33</v>
      </c>
      <c r="AG36" s="77">
        <f t="shared" si="55"/>
        <v>11589.375</v>
      </c>
      <c r="AH36" s="77">
        <f t="shared" si="56"/>
        <v>9502.68</v>
      </c>
      <c r="AI36" s="77">
        <f t="shared" si="57"/>
        <v>6036.3850000000002</v>
      </c>
      <c r="AJ36" s="77">
        <f t="shared" si="58"/>
        <v>7003.84</v>
      </c>
      <c r="AK36" s="77">
        <f t="shared" si="59"/>
        <v>5760.2649999999994</v>
      </c>
      <c r="AL36" s="77">
        <f t="shared" si="60"/>
        <v>3795.3869999999997</v>
      </c>
      <c r="AM36" s="77">
        <f t="shared" si="61"/>
        <v>2656.4120000000003</v>
      </c>
    </row>
    <row r="37" spans="1:39" x14ac:dyDescent="0.25">
      <c r="A37" s="119" t="s">
        <v>53</v>
      </c>
      <c r="B37" s="80">
        <v>35</v>
      </c>
      <c r="C37" s="75">
        <v>0.95</v>
      </c>
      <c r="D37" s="75">
        <v>0.97</v>
      </c>
      <c r="E37" s="75">
        <v>0.89</v>
      </c>
      <c r="F37" s="77">
        <f t="shared" si="34"/>
        <v>12798.674999999999</v>
      </c>
      <c r="G37" s="77">
        <f t="shared" si="20"/>
        <v>7126.2250000000004</v>
      </c>
      <c r="H37" s="77">
        <f t="shared" si="35"/>
        <v>10491.862499999999</v>
      </c>
      <c r="I37" s="77">
        <f t="shared" si="36"/>
        <v>8956.6875</v>
      </c>
      <c r="J37" s="77">
        <f t="shared" si="21"/>
        <v>5909.5625</v>
      </c>
      <c r="K37" s="77">
        <f t="shared" si="37"/>
        <v>12471.9375</v>
      </c>
      <c r="L37" s="77">
        <f t="shared" si="22"/>
        <v>6261.3125</v>
      </c>
      <c r="M37" s="77">
        <f t="shared" si="38"/>
        <v>10163.099999999999</v>
      </c>
      <c r="N37" s="77">
        <f t="shared" si="39"/>
        <v>7855.1750000000002</v>
      </c>
      <c r="O37" s="77">
        <f t="shared" si="23"/>
        <v>5092.67</v>
      </c>
      <c r="P37" s="77">
        <f t="shared" si="40"/>
        <v>3801</v>
      </c>
      <c r="Q37" s="77">
        <f t="shared" si="41"/>
        <v>1755.65</v>
      </c>
      <c r="R37" s="77">
        <f t="shared" si="42"/>
        <v>12668.0625</v>
      </c>
      <c r="S37" s="77">
        <f t="shared" si="43"/>
        <v>10309.86</v>
      </c>
      <c r="T37" s="77">
        <f t="shared" si="44"/>
        <v>7952.1049999999996</v>
      </c>
      <c r="U37" s="77">
        <f t="shared" si="24"/>
        <v>4818.0349999999999</v>
      </c>
      <c r="V37" s="77">
        <f t="shared" si="45"/>
        <v>12668.0625</v>
      </c>
      <c r="W37" s="77">
        <f t="shared" si="46"/>
        <v>10309.86</v>
      </c>
      <c r="X37" s="77">
        <f t="shared" si="47"/>
        <v>6383.9575000000004</v>
      </c>
      <c r="Y37" s="77">
        <f t="shared" si="48"/>
        <v>7481.68</v>
      </c>
      <c r="Z37" s="77">
        <f t="shared" si="49"/>
        <v>6070.2174999999997</v>
      </c>
      <c r="AA37" s="77">
        <f t="shared" si="50"/>
        <v>3987.9364999999998</v>
      </c>
      <c r="AB37" s="77">
        <f t="shared" si="51"/>
        <v>2775.674</v>
      </c>
      <c r="AC37" s="77">
        <f t="shared" si="52"/>
        <v>11883.5625</v>
      </c>
      <c r="AD37" s="77">
        <f t="shared" si="53"/>
        <v>9722.82</v>
      </c>
      <c r="AE37" s="77">
        <f t="shared" si="54"/>
        <v>7564.3850000000002</v>
      </c>
      <c r="AF37" s="77">
        <f t="shared" si="25"/>
        <v>4688.7950000000001</v>
      </c>
      <c r="AG37" s="77">
        <f t="shared" si="55"/>
        <v>11883.5625</v>
      </c>
      <c r="AH37" s="77">
        <f t="shared" si="56"/>
        <v>9722.82</v>
      </c>
      <c r="AI37" s="77">
        <f t="shared" si="57"/>
        <v>6131.1774999999998</v>
      </c>
      <c r="AJ37" s="77">
        <f t="shared" si="58"/>
        <v>7134.16</v>
      </c>
      <c r="AK37" s="77">
        <f t="shared" si="59"/>
        <v>5844.7975000000006</v>
      </c>
      <c r="AL37" s="77">
        <f t="shared" si="60"/>
        <v>3847.9004999999997</v>
      </c>
      <c r="AM37" s="77">
        <f t="shared" si="61"/>
        <v>2688.9380000000001</v>
      </c>
    </row>
    <row r="38" spans="1:39" x14ac:dyDescent="0.25">
      <c r="A38" s="119" t="s">
        <v>83</v>
      </c>
      <c r="B38" s="80">
        <v>36</v>
      </c>
      <c r="C38" s="75">
        <v>0.92999999999999994</v>
      </c>
      <c r="D38" s="75">
        <v>0.97</v>
      </c>
      <c r="E38" s="75">
        <v>0.91</v>
      </c>
      <c r="F38" s="77">
        <f t="shared" si="34"/>
        <v>12619.545</v>
      </c>
      <c r="G38" s="77">
        <f t="shared" si="20"/>
        <v>7066.5149999999994</v>
      </c>
      <c r="H38" s="77">
        <f t="shared" si="35"/>
        <v>10362.307499999999</v>
      </c>
      <c r="I38" s="77">
        <f t="shared" si="36"/>
        <v>8860.4624999999996</v>
      </c>
      <c r="J38" s="77">
        <f t="shared" si="21"/>
        <v>5877.4875000000002</v>
      </c>
      <c r="K38" s="77">
        <f t="shared" si="37"/>
        <v>12275.8125</v>
      </c>
      <c r="L38" s="77">
        <f t="shared" si="22"/>
        <v>6195.9375</v>
      </c>
      <c r="M38" s="77">
        <f t="shared" si="38"/>
        <v>10016.34</v>
      </c>
      <c r="N38" s="77">
        <f t="shared" si="39"/>
        <v>7758.2449999999999</v>
      </c>
      <c r="O38" s="77">
        <f t="shared" si="23"/>
        <v>5053.8979999999992</v>
      </c>
      <c r="P38" s="77">
        <f t="shared" si="40"/>
        <v>3768.6</v>
      </c>
      <c r="Q38" s="77">
        <f t="shared" si="41"/>
        <v>1741.9099999999999</v>
      </c>
      <c r="R38" s="77">
        <f t="shared" si="42"/>
        <v>12668.0625</v>
      </c>
      <c r="S38" s="77">
        <f t="shared" si="43"/>
        <v>10309.86</v>
      </c>
      <c r="T38" s="77">
        <f t="shared" si="44"/>
        <v>7952.1049999999996</v>
      </c>
      <c r="U38" s="77">
        <f t="shared" si="24"/>
        <v>4818.0349999999999</v>
      </c>
      <c r="V38" s="77">
        <f t="shared" si="45"/>
        <v>12668.0625</v>
      </c>
      <c r="W38" s="77">
        <f t="shared" si="46"/>
        <v>10309.86</v>
      </c>
      <c r="X38" s="77">
        <f t="shared" si="47"/>
        <v>6383.9575000000004</v>
      </c>
      <c r="Y38" s="77">
        <f t="shared" si="48"/>
        <v>7481.68</v>
      </c>
      <c r="Z38" s="77">
        <f t="shared" si="49"/>
        <v>6070.2174999999997</v>
      </c>
      <c r="AA38" s="77">
        <f t="shared" si="50"/>
        <v>3987.9364999999998</v>
      </c>
      <c r="AB38" s="77">
        <f t="shared" si="51"/>
        <v>2775.674</v>
      </c>
      <c r="AC38" s="77">
        <f t="shared" si="52"/>
        <v>12079.6875</v>
      </c>
      <c r="AD38" s="77">
        <f t="shared" si="53"/>
        <v>9869.58</v>
      </c>
      <c r="AE38" s="77">
        <f t="shared" si="54"/>
        <v>7661.3150000000005</v>
      </c>
      <c r="AF38" s="77">
        <f t="shared" si="25"/>
        <v>4721.1049999999996</v>
      </c>
      <c r="AG38" s="77">
        <f t="shared" si="55"/>
        <v>12079.6875</v>
      </c>
      <c r="AH38" s="77">
        <f t="shared" si="56"/>
        <v>9869.58</v>
      </c>
      <c r="AI38" s="77">
        <f t="shared" si="57"/>
        <v>6194.3724999999995</v>
      </c>
      <c r="AJ38" s="77">
        <f t="shared" si="58"/>
        <v>7221.04</v>
      </c>
      <c r="AK38" s="77">
        <f t="shared" si="59"/>
        <v>5901.1525000000001</v>
      </c>
      <c r="AL38" s="77">
        <f t="shared" si="60"/>
        <v>3882.9095000000002</v>
      </c>
      <c r="AM38" s="77">
        <f t="shared" si="61"/>
        <v>2710.6220000000003</v>
      </c>
    </row>
    <row r="39" spans="1:39" x14ac:dyDescent="0.25">
      <c r="A39" s="119" t="s">
        <v>98</v>
      </c>
      <c r="B39" s="80">
        <v>37</v>
      </c>
      <c r="C39" s="75">
        <v>0.91999999999999993</v>
      </c>
      <c r="D39" s="75">
        <v>0.96</v>
      </c>
      <c r="E39" s="75">
        <v>0.92</v>
      </c>
      <c r="F39" s="77">
        <f t="shared" si="34"/>
        <v>12529.98</v>
      </c>
      <c r="G39" s="77">
        <f t="shared" si="20"/>
        <v>7036.66</v>
      </c>
      <c r="H39" s="77">
        <f t="shared" si="35"/>
        <v>10297.529999999999</v>
      </c>
      <c r="I39" s="77">
        <f t="shared" si="36"/>
        <v>8812.3499999999985</v>
      </c>
      <c r="J39" s="77">
        <f t="shared" si="21"/>
        <v>5861.45</v>
      </c>
      <c r="K39" s="77">
        <f t="shared" si="37"/>
        <v>12177.749999999998</v>
      </c>
      <c r="L39" s="77">
        <f t="shared" si="22"/>
        <v>6163.25</v>
      </c>
      <c r="M39" s="77">
        <f t="shared" si="38"/>
        <v>9942.9599999999991</v>
      </c>
      <c r="N39" s="77">
        <f t="shared" si="39"/>
        <v>7709.78</v>
      </c>
      <c r="O39" s="77">
        <f t="shared" si="23"/>
        <v>5034.5119999999997</v>
      </c>
      <c r="P39" s="77">
        <f t="shared" si="40"/>
        <v>3752.3999999999996</v>
      </c>
      <c r="Q39" s="77">
        <f t="shared" si="41"/>
        <v>1735.04</v>
      </c>
      <c r="R39" s="77">
        <f t="shared" si="42"/>
        <v>12570</v>
      </c>
      <c r="S39" s="77">
        <f t="shared" si="43"/>
        <v>10236.48</v>
      </c>
      <c r="T39" s="77">
        <f t="shared" si="44"/>
        <v>7903.6399999999994</v>
      </c>
      <c r="U39" s="77">
        <f t="shared" si="24"/>
        <v>4801.88</v>
      </c>
      <c r="V39" s="77">
        <f t="shared" si="45"/>
        <v>12570</v>
      </c>
      <c r="W39" s="77">
        <f t="shared" si="46"/>
        <v>10236.48</v>
      </c>
      <c r="X39" s="77">
        <f t="shared" si="47"/>
        <v>6352.36</v>
      </c>
      <c r="Y39" s="77">
        <f t="shared" si="48"/>
        <v>7438.24</v>
      </c>
      <c r="Z39" s="77">
        <f t="shared" si="49"/>
        <v>6042.04</v>
      </c>
      <c r="AA39" s="77">
        <f t="shared" si="50"/>
        <v>3970.4319999999998</v>
      </c>
      <c r="AB39" s="77">
        <f t="shared" si="51"/>
        <v>2764.8320000000003</v>
      </c>
      <c r="AC39" s="77">
        <f t="shared" si="52"/>
        <v>12177.75</v>
      </c>
      <c r="AD39" s="77">
        <f t="shared" si="53"/>
        <v>9942.9600000000009</v>
      </c>
      <c r="AE39" s="77">
        <f t="shared" si="54"/>
        <v>7709.78</v>
      </c>
      <c r="AF39" s="77">
        <f t="shared" si="25"/>
        <v>4737.26</v>
      </c>
      <c r="AG39" s="77">
        <f t="shared" si="55"/>
        <v>12177.75</v>
      </c>
      <c r="AH39" s="77">
        <f t="shared" si="56"/>
        <v>9942.9600000000009</v>
      </c>
      <c r="AI39" s="77">
        <f t="shared" si="57"/>
        <v>6225.97</v>
      </c>
      <c r="AJ39" s="77">
        <f t="shared" si="58"/>
        <v>7264.48</v>
      </c>
      <c r="AK39" s="77">
        <f t="shared" si="59"/>
        <v>5929.33</v>
      </c>
      <c r="AL39" s="77">
        <f t="shared" si="60"/>
        <v>3900.4140000000002</v>
      </c>
      <c r="AM39" s="77">
        <f t="shared" si="61"/>
        <v>2721.4639999999999</v>
      </c>
    </row>
    <row r="40" spans="1:39" x14ac:dyDescent="0.25">
      <c r="A40" s="119" t="s">
        <v>54</v>
      </c>
      <c r="B40" s="80">
        <v>38</v>
      </c>
      <c r="C40" s="75">
        <v>0.97499999999999998</v>
      </c>
      <c r="D40" s="75">
        <v>0.96</v>
      </c>
      <c r="E40" s="75">
        <v>0.9</v>
      </c>
      <c r="F40" s="77">
        <f t="shared" si="34"/>
        <v>13022.5875</v>
      </c>
      <c r="G40" s="77">
        <f t="shared" si="20"/>
        <v>7200.8624999999993</v>
      </c>
      <c r="H40" s="77">
        <f t="shared" si="35"/>
        <v>10653.80625</v>
      </c>
      <c r="I40" s="77">
        <f t="shared" si="36"/>
        <v>9076.96875</v>
      </c>
      <c r="J40" s="77">
        <f t="shared" si="21"/>
        <v>5949.65625</v>
      </c>
      <c r="K40" s="77">
        <f t="shared" si="37"/>
        <v>12717.09375</v>
      </c>
      <c r="L40" s="77">
        <f t="shared" si="22"/>
        <v>6343.03125</v>
      </c>
      <c r="M40" s="77">
        <f t="shared" si="38"/>
        <v>10346.549999999999</v>
      </c>
      <c r="N40" s="77">
        <f t="shared" si="39"/>
        <v>7976.3374999999996</v>
      </c>
      <c r="O40" s="77">
        <f t="shared" si="23"/>
        <v>5141.1350000000002</v>
      </c>
      <c r="P40" s="77">
        <f t="shared" si="40"/>
        <v>3841.5</v>
      </c>
      <c r="Q40" s="77">
        <f t="shared" si="41"/>
        <v>1772.8249999999998</v>
      </c>
      <c r="R40" s="77">
        <f t="shared" si="42"/>
        <v>12570</v>
      </c>
      <c r="S40" s="77">
        <f t="shared" si="43"/>
        <v>10236.48</v>
      </c>
      <c r="T40" s="77">
        <f t="shared" si="44"/>
        <v>7903.6399999999994</v>
      </c>
      <c r="U40" s="77">
        <f t="shared" si="24"/>
        <v>4801.88</v>
      </c>
      <c r="V40" s="77">
        <f t="shared" si="45"/>
        <v>12570</v>
      </c>
      <c r="W40" s="77">
        <f t="shared" si="46"/>
        <v>10236.48</v>
      </c>
      <c r="X40" s="77">
        <f t="shared" si="47"/>
        <v>6352.36</v>
      </c>
      <c r="Y40" s="77">
        <f t="shared" si="48"/>
        <v>7438.24</v>
      </c>
      <c r="Z40" s="77">
        <f t="shared" si="49"/>
        <v>6042.04</v>
      </c>
      <c r="AA40" s="77">
        <f t="shared" si="50"/>
        <v>3970.4319999999998</v>
      </c>
      <c r="AB40" s="77">
        <f t="shared" si="51"/>
        <v>2764.8320000000003</v>
      </c>
      <c r="AC40" s="77">
        <f t="shared" si="52"/>
        <v>11981.625</v>
      </c>
      <c r="AD40" s="77">
        <f t="shared" si="53"/>
        <v>9796.2000000000007</v>
      </c>
      <c r="AE40" s="77">
        <f t="shared" si="54"/>
        <v>7612.85</v>
      </c>
      <c r="AF40" s="77">
        <f t="shared" si="25"/>
        <v>4704.95</v>
      </c>
      <c r="AG40" s="77">
        <f t="shared" si="55"/>
        <v>11981.625</v>
      </c>
      <c r="AH40" s="77">
        <f t="shared" si="56"/>
        <v>9796.2000000000007</v>
      </c>
      <c r="AI40" s="77">
        <f t="shared" si="57"/>
        <v>6162.7749999999996</v>
      </c>
      <c r="AJ40" s="77">
        <f t="shared" si="58"/>
        <v>7177.6</v>
      </c>
      <c r="AK40" s="77">
        <f t="shared" si="59"/>
        <v>5872.9750000000004</v>
      </c>
      <c r="AL40" s="77">
        <f t="shared" si="60"/>
        <v>3865.4049999999997</v>
      </c>
      <c r="AM40" s="77">
        <f t="shared" si="61"/>
        <v>2699.78</v>
      </c>
    </row>
    <row r="41" spans="1:39" x14ac:dyDescent="0.25">
      <c r="A41" s="119" t="s">
        <v>110</v>
      </c>
      <c r="B41" s="80">
        <v>39</v>
      </c>
      <c r="C41" s="75">
        <v>0.88500000000000001</v>
      </c>
      <c r="D41" s="75">
        <v>0.96</v>
      </c>
      <c r="E41" s="75">
        <v>0.91</v>
      </c>
      <c r="F41" s="77">
        <f t="shared" si="34"/>
        <v>12216.502500000001</v>
      </c>
      <c r="G41" s="77">
        <f t="shared" si="20"/>
        <v>6932.1674999999996</v>
      </c>
      <c r="H41" s="77">
        <f t="shared" si="35"/>
        <v>10070.80875</v>
      </c>
      <c r="I41" s="77">
        <f t="shared" si="36"/>
        <v>8643.9562499999993</v>
      </c>
      <c r="J41" s="77">
        <f t="shared" si="21"/>
        <v>5805.3187500000004</v>
      </c>
      <c r="K41" s="77">
        <f t="shared" si="37"/>
        <v>11834.53125</v>
      </c>
      <c r="L41" s="77">
        <f t="shared" si="22"/>
        <v>6048.84375</v>
      </c>
      <c r="M41" s="77">
        <f t="shared" si="38"/>
        <v>9686.130000000001</v>
      </c>
      <c r="N41" s="77">
        <f t="shared" si="39"/>
        <v>7540.1525000000001</v>
      </c>
      <c r="O41" s="77">
        <f t="shared" si="23"/>
        <v>4966.6610000000001</v>
      </c>
      <c r="P41" s="77">
        <f t="shared" si="40"/>
        <v>3695.7</v>
      </c>
      <c r="Q41" s="77">
        <f t="shared" si="41"/>
        <v>1710.9949999999999</v>
      </c>
      <c r="R41" s="77">
        <f t="shared" si="42"/>
        <v>12570</v>
      </c>
      <c r="S41" s="77">
        <f t="shared" si="43"/>
        <v>10236.48</v>
      </c>
      <c r="T41" s="77">
        <f t="shared" si="44"/>
        <v>7903.6399999999994</v>
      </c>
      <c r="U41" s="77">
        <f t="shared" si="24"/>
        <v>4801.88</v>
      </c>
      <c r="V41" s="77">
        <f t="shared" si="45"/>
        <v>12570</v>
      </c>
      <c r="W41" s="77">
        <f t="shared" si="46"/>
        <v>10236.48</v>
      </c>
      <c r="X41" s="77">
        <f t="shared" si="47"/>
        <v>6352.36</v>
      </c>
      <c r="Y41" s="77">
        <f t="shared" si="48"/>
        <v>7438.24</v>
      </c>
      <c r="Z41" s="77">
        <f t="shared" si="49"/>
        <v>6042.04</v>
      </c>
      <c r="AA41" s="77">
        <f t="shared" si="50"/>
        <v>3970.4319999999998</v>
      </c>
      <c r="AB41" s="77">
        <f t="shared" si="51"/>
        <v>2764.8320000000003</v>
      </c>
      <c r="AC41" s="77">
        <f t="shared" si="52"/>
        <v>12079.6875</v>
      </c>
      <c r="AD41" s="77">
        <f t="shared" si="53"/>
        <v>9869.58</v>
      </c>
      <c r="AE41" s="77">
        <f t="shared" si="54"/>
        <v>7661.3150000000005</v>
      </c>
      <c r="AF41" s="77">
        <f t="shared" si="25"/>
        <v>4721.1049999999996</v>
      </c>
      <c r="AG41" s="77">
        <f t="shared" si="55"/>
        <v>12079.6875</v>
      </c>
      <c r="AH41" s="77">
        <f t="shared" si="56"/>
        <v>9869.58</v>
      </c>
      <c r="AI41" s="77">
        <f t="shared" si="57"/>
        <v>6194.3724999999995</v>
      </c>
      <c r="AJ41" s="77">
        <f t="shared" si="58"/>
        <v>7221.04</v>
      </c>
      <c r="AK41" s="77">
        <f t="shared" si="59"/>
        <v>5901.1525000000001</v>
      </c>
      <c r="AL41" s="77">
        <f t="shared" si="60"/>
        <v>3882.9095000000002</v>
      </c>
      <c r="AM41" s="77">
        <f t="shared" si="61"/>
        <v>2710.6220000000003</v>
      </c>
    </row>
    <row r="42" spans="1:39" x14ac:dyDescent="0.25">
      <c r="A42" s="119" t="s">
        <v>89</v>
      </c>
      <c r="B42" s="80">
        <v>40</v>
      </c>
      <c r="C42" s="75">
        <v>0.91999999999999993</v>
      </c>
      <c r="D42" s="75">
        <v>0.97</v>
      </c>
      <c r="E42" s="75">
        <v>0.93</v>
      </c>
      <c r="F42" s="77">
        <f t="shared" si="34"/>
        <v>12529.98</v>
      </c>
      <c r="G42" s="77">
        <f t="shared" si="20"/>
        <v>7036.66</v>
      </c>
      <c r="H42" s="77">
        <f t="shared" si="35"/>
        <v>10297.529999999999</v>
      </c>
      <c r="I42" s="77">
        <f t="shared" si="36"/>
        <v>8812.3499999999985</v>
      </c>
      <c r="J42" s="77">
        <f t="shared" si="21"/>
        <v>5861.45</v>
      </c>
      <c r="K42" s="77">
        <f t="shared" si="37"/>
        <v>12177.749999999998</v>
      </c>
      <c r="L42" s="77">
        <f t="shared" si="22"/>
        <v>6163.25</v>
      </c>
      <c r="M42" s="77">
        <f t="shared" si="38"/>
        <v>9942.9599999999991</v>
      </c>
      <c r="N42" s="77">
        <f t="shared" si="39"/>
        <v>7709.78</v>
      </c>
      <c r="O42" s="77">
        <f t="shared" si="23"/>
        <v>5034.5119999999997</v>
      </c>
      <c r="P42" s="77">
        <f t="shared" si="40"/>
        <v>3752.3999999999996</v>
      </c>
      <c r="Q42" s="77">
        <f t="shared" si="41"/>
        <v>1735.04</v>
      </c>
      <c r="R42" s="77">
        <f t="shared" si="42"/>
        <v>12668.0625</v>
      </c>
      <c r="S42" s="77">
        <f t="shared" si="43"/>
        <v>10309.86</v>
      </c>
      <c r="T42" s="77">
        <f t="shared" si="44"/>
        <v>7952.1049999999996</v>
      </c>
      <c r="U42" s="77">
        <f t="shared" si="24"/>
        <v>4818.0349999999999</v>
      </c>
      <c r="V42" s="77">
        <f t="shared" si="45"/>
        <v>12668.0625</v>
      </c>
      <c r="W42" s="77">
        <f t="shared" si="46"/>
        <v>10309.86</v>
      </c>
      <c r="X42" s="77">
        <f t="shared" si="47"/>
        <v>6383.9575000000004</v>
      </c>
      <c r="Y42" s="77">
        <f t="shared" si="48"/>
        <v>7481.68</v>
      </c>
      <c r="Z42" s="77">
        <f t="shared" si="49"/>
        <v>6070.2174999999997</v>
      </c>
      <c r="AA42" s="77">
        <f t="shared" si="50"/>
        <v>3987.9364999999998</v>
      </c>
      <c r="AB42" s="77">
        <f t="shared" si="51"/>
        <v>2775.674</v>
      </c>
      <c r="AC42" s="77">
        <f t="shared" si="52"/>
        <v>12275.8125</v>
      </c>
      <c r="AD42" s="77">
        <f t="shared" si="53"/>
        <v>10016.34</v>
      </c>
      <c r="AE42" s="77">
        <f t="shared" si="54"/>
        <v>7758.2450000000008</v>
      </c>
      <c r="AF42" s="77">
        <f t="shared" si="25"/>
        <v>4753.415</v>
      </c>
      <c r="AG42" s="77">
        <f t="shared" si="55"/>
        <v>12275.8125</v>
      </c>
      <c r="AH42" s="77">
        <f t="shared" si="56"/>
        <v>10016.34</v>
      </c>
      <c r="AI42" s="77">
        <f t="shared" si="57"/>
        <v>6257.5675000000001</v>
      </c>
      <c r="AJ42" s="77">
        <f t="shared" si="58"/>
        <v>7307.92</v>
      </c>
      <c r="AK42" s="77">
        <f t="shared" si="59"/>
        <v>5957.5074999999997</v>
      </c>
      <c r="AL42" s="77">
        <f t="shared" si="60"/>
        <v>3917.9185000000002</v>
      </c>
      <c r="AM42" s="77">
        <f t="shared" si="61"/>
        <v>2732.306</v>
      </c>
    </row>
    <row r="43" spans="1:39" x14ac:dyDescent="0.25">
      <c r="A43" s="119" t="s">
        <v>55</v>
      </c>
      <c r="B43" s="80">
        <v>41</v>
      </c>
      <c r="C43" s="75">
        <v>0.92999999999999994</v>
      </c>
      <c r="D43" s="75">
        <v>0.97</v>
      </c>
      <c r="E43" s="75">
        <v>0.91</v>
      </c>
      <c r="F43" s="77">
        <f t="shared" si="34"/>
        <v>12619.545</v>
      </c>
      <c r="G43" s="77">
        <f t="shared" si="20"/>
        <v>7066.5149999999994</v>
      </c>
      <c r="H43" s="77">
        <f t="shared" si="35"/>
        <v>10362.307499999999</v>
      </c>
      <c r="I43" s="77">
        <f t="shared" si="36"/>
        <v>8860.4624999999996</v>
      </c>
      <c r="J43" s="77">
        <f t="shared" si="21"/>
        <v>5877.4875000000002</v>
      </c>
      <c r="K43" s="77">
        <f t="shared" si="37"/>
        <v>12275.8125</v>
      </c>
      <c r="L43" s="77">
        <f t="shared" si="22"/>
        <v>6195.9375</v>
      </c>
      <c r="M43" s="77">
        <f t="shared" si="38"/>
        <v>10016.34</v>
      </c>
      <c r="N43" s="77">
        <f t="shared" si="39"/>
        <v>7758.2449999999999</v>
      </c>
      <c r="O43" s="77">
        <f t="shared" si="23"/>
        <v>5053.8979999999992</v>
      </c>
      <c r="P43" s="77">
        <f t="shared" si="40"/>
        <v>3768.6</v>
      </c>
      <c r="Q43" s="77">
        <f t="shared" si="41"/>
        <v>1741.9099999999999</v>
      </c>
      <c r="R43" s="77">
        <f t="shared" si="42"/>
        <v>12668.0625</v>
      </c>
      <c r="S43" s="77">
        <f t="shared" si="43"/>
        <v>10309.86</v>
      </c>
      <c r="T43" s="77">
        <f t="shared" si="44"/>
        <v>7952.1049999999996</v>
      </c>
      <c r="U43" s="77">
        <f t="shared" si="24"/>
        <v>4818.0349999999999</v>
      </c>
      <c r="V43" s="77">
        <f t="shared" si="45"/>
        <v>12668.0625</v>
      </c>
      <c r="W43" s="77">
        <f t="shared" si="46"/>
        <v>10309.86</v>
      </c>
      <c r="X43" s="77">
        <f t="shared" si="47"/>
        <v>6383.9575000000004</v>
      </c>
      <c r="Y43" s="77">
        <f t="shared" si="48"/>
        <v>7481.68</v>
      </c>
      <c r="Z43" s="77">
        <f t="shared" si="49"/>
        <v>6070.2174999999997</v>
      </c>
      <c r="AA43" s="77">
        <f t="shared" si="50"/>
        <v>3987.9364999999998</v>
      </c>
      <c r="AB43" s="77">
        <f t="shared" si="51"/>
        <v>2775.674</v>
      </c>
      <c r="AC43" s="77">
        <f t="shared" si="52"/>
        <v>12079.6875</v>
      </c>
      <c r="AD43" s="77">
        <f t="shared" si="53"/>
        <v>9869.58</v>
      </c>
      <c r="AE43" s="77">
        <f t="shared" si="54"/>
        <v>7661.3150000000005</v>
      </c>
      <c r="AF43" s="77">
        <f t="shared" si="25"/>
        <v>4721.1049999999996</v>
      </c>
      <c r="AG43" s="77">
        <f t="shared" si="55"/>
        <v>12079.6875</v>
      </c>
      <c r="AH43" s="77">
        <f t="shared" si="56"/>
        <v>9869.58</v>
      </c>
      <c r="AI43" s="77">
        <f t="shared" si="57"/>
        <v>6194.3724999999995</v>
      </c>
      <c r="AJ43" s="77">
        <f t="shared" si="58"/>
        <v>7221.04</v>
      </c>
      <c r="AK43" s="77">
        <f t="shared" si="59"/>
        <v>5901.1525000000001</v>
      </c>
      <c r="AL43" s="77">
        <f t="shared" si="60"/>
        <v>3882.9095000000002</v>
      </c>
      <c r="AM43" s="77">
        <f t="shared" si="61"/>
        <v>2710.6220000000003</v>
      </c>
    </row>
    <row r="44" spans="1:39" x14ac:dyDescent="0.25">
      <c r="A44" s="119" t="s">
        <v>45</v>
      </c>
      <c r="B44" s="80">
        <v>42</v>
      </c>
      <c r="C44" s="75">
        <v>0.98</v>
      </c>
      <c r="D44" s="75">
        <v>0.96</v>
      </c>
      <c r="E44" s="75">
        <v>0.92</v>
      </c>
      <c r="F44" s="77">
        <f t="shared" si="34"/>
        <v>13067.369999999999</v>
      </c>
      <c r="G44" s="77">
        <f t="shared" si="20"/>
        <v>7215.79</v>
      </c>
      <c r="H44" s="77">
        <f t="shared" si="35"/>
        <v>10686.195</v>
      </c>
      <c r="I44" s="77">
        <f t="shared" si="36"/>
        <v>9101.0249999999996</v>
      </c>
      <c r="J44" s="77">
        <f t="shared" si="21"/>
        <v>5957.6750000000002</v>
      </c>
      <c r="K44" s="77">
        <f t="shared" si="37"/>
        <v>12766.125</v>
      </c>
      <c r="L44" s="77">
        <f t="shared" si="22"/>
        <v>6359.375</v>
      </c>
      <c r="M44" s="77">
        <f t="shared" si="38"/>
        <v>10383.24</v>
      </c>
      <c r="N44" s="77">
        <f t="shared" si="39"/>
        <v>8000.57</v>
      </c>
      <c r="O44" s="77">
        <f t="shared" si="23"/>
        <v>5150.8279999999995</v>
      </c>
      <c r="P44" s="77">
        <f t="shared" si="40"/>
        <v>3849.6</v>
      </c>
      <c r="Q44" s="77">
        <f t="shared" si="41"/>
        <v>1776.2599999999998</v>
      </c>
      <c r="R44" s="77">
        <f t="shared" si="42"/>
        <v>12570</v>
      </c>
      <c r="S44" s="77">
        <f t="shared" si="43"/>
        <v>10236.48</v>
      </c>
      <c r="T44" s="77">
        <f t="shared" si="44"/>
        <v>7903.6399999999994</v>
      </c>
      <c r="U44" s="77">
        <f t="shared" si="24"/>
        <v>4801.88</v>
      </c>
      <c r="V44" s="77">
        <f t="shared" si="45"/>
        <v>12570</v>
      </c>
      <c r="W44" s="77">
        <f t="shared" si="46"/>
        <v>10236.48</v>
      </c>
      <c r="X44" s="77">
        <f t="shared" si="47"/>
        <v>6352.36</v>
      </c>
      <c r="Y44" s="77">
        <f t="shared" si="48"/>
        <v>7438.24</v>
      </c>
      <c r="Z44" s="77">
        <f t="shared" si="49"/>
        <v>6042.04</v>
      </c>
      <c r="AA44" s="77">
        <f t="shared" si="50"/>
        <v>3970.4319999999998</v>
      </c>
      <c r="AB44" s="77">
        <f t="shared" si="51"/>
        <v>2764.8320000000003</v>
      </c>
      <c r="AC44" s="77">
        <f t="shared" si="52"/>
        <v>12177.75</v>
      </c>
      <c r="AD44" s="77">
        <f t="shared" si="53"/>
        <v>9942.9600000000009</v>
      </c>
      <c r="AE44" s="77">
        <f t="shared" si="54"/>
        <v>7709.78</v>
      </c>
      <c r="AF44" s="77">
        <f t="shared" si="25"/>
        <v>4737.26</v>
      </c>
      <c r="AG44" s="77">
        <f t="shared" si="55"/>
        <v>12177.75</v>
      </c>
      <c r="AH44" s="77">
        <f t="shared" si="56"/>
        <v>9942.9600000000009</v>
      </c>
      <c r="AI44" s="77">
        <f t="shared" si="57"/>
        <v>6225.97</v>
      </c>
      <c r="AJ44" s="77">
        <f t="shared" si="58"/>
        <v>7264.48</v>
      </c>
      <c r="AK44" s="77">
        <f t="shared" si="59"/>
        <v>5929.33</v>
      </c>
      <c r="AL44" s="77">
        <f t="shared" si="60"/>
        <v>3900.4140000000002</v>
      </c>
      <c r="AM44" s="77">
        <f t="shared" si="61"/>
        <v>2721.4639999999999</v>
      </c>
    </row>
    <row r="45" spans="1:39" x14ac:dyDescent="0.25">
      <c r="A45" s="119" t="s">
        <v>76</v>
      </c>
      <c r="B45" s="80">
        <v>43</v>
      </c>
      <c r="C45" s="75">
        <v>0.94</v>
      </c>
      <c r="D45" s="75">
        <v>0.97</v>
      </c>
      <c r="E45" s="75">
        <v>0.92</v>
      </c>
      <c r="F45" s="77">
        <f t="shared" si="34"/>
        <v>12709.11</v>
      </c>
      <c r="G45" s="77">
        <f t="shared" si="20"/>
        <v>7096.37</v>
      </c>
      <c r="H45" s="77">
        <f t="shared" si="35"/>
        <v>10427.084999999999</v>
      </c>
      <c r="I45" s="77">
        <f t="shared" si="36"/>
        <v>8908.5750000000007</v>
      </c>
      <c r="J45" s="77">
        <f t="shared" si="21"/>
        <v>5893.5249999999996</v>
      </c>
      <c r="K45" s="77">
        <f t="shared" si="37"/>
        <v>12373.875</v>
      </c>
      <c r="L45" s="77">
        <f t="shared" si="22"/>
        <v>6228.625</v>
      </c>
      <c r="M45" s="77">
        <f t="shared" si="38"/>
        <v>10089.719999999999</v>
      </c>
      <c r="N45" s="77">
        <f t="shared" si="39"/>
        <v>7806.71</v>
      </c>
      <c r="O45" s="77">
        <f t="shared" si="23"/>
        <v>5073.2839999999997</v>
      </c>
      <c r="P45" s="77">
        <f t="shared" si="40"/>
        <v>3784.8</v>
      </c>
      <c r="Q45" s="77">
        <f t="shared" si="41"/>
        <v>1748.78</v>
      </c>
      <c r="R45" s="77">
        <f t="shared" si="42"/>
        <v>12668.0625</v>
      </c>
      <c r="S45" s="77">
        <f t="shared" si="43"/>
        <v>10309.86</v>
      </c>
      <c r="T45" s="77">
        <f t="shared" si="44"/>
        <v>7952.1049999999996</v>
      </c>
      <c r="U45" s="77">
        <f t="shared" si="24"/>
        <v>4818.0349999999999</v>
      </c>
      <c r="V45" s="77">
        <f t="shared" si="45"/>
        <v>12668.0625</v>
      </c>
      <c r="W45" s="77">
        <f t="shared" si="46"/>
        <v>10309.86</v>
      </c>
      <c r="X45" s="77">
        <f t="shared" si="47"/>
        <v>6383.9575000000004</v>
      </c>
      <c r="Y45" s="77">
        <f t="shared" si="48"/>
        <v>7481.68</v>
      </c>
      <c r="Z45" s="77">
        <f t="shared" si="49"/>
        <v>6070.2174999999997</v>
      </c>
      <c r="AA45" s="77">
        <f t="shared" si="50"/>
        <v>3987.9364999999998</v>
      </c>
      <c r="AB45" s="77">
        <f t="shared" si="51"/>
        <v>2775.674</v>
      </c>
      <c r="AC45" s="77">
        <f t="shared" si="52"/>
        <v>12177.75</v>
      </c>
      <c r="AD45" s="77">
        <f t="shared" si="53"/>
        <v>9942.9600000000009</v>
      </c>
      <c r="AE45" s="77">
        <f t="shared" si="54"/>
        <v>7709.78</v>
      </c>
      <c r="AF45" s="77">
        <f t="shared" si="25"/>
        <v>4737.26</v>
      </c>
      <c r="AG45" s="77">
        <f t="shared" si="55"/>
        <v>12177.75</v>
      </c>
      <c r="AH45" s="77">
        <f t="shared" si="56"/>
        <v>9942.9600000000009</v>
      </c>
      <c r="AI45" s="77">
        <f t="shared" si="57"/>
        <v>6225.97</v>
      </c>
      <c r="AJ45" s="77">
        <f t="shared" si="58"/>
        <v>7264.48</v>
      </c>
      <c r="AK45" s="77">
        <f t="shared" si="59"/>
        <v>5929.33</v>
      </c>
      <c r="AL45" s="77">
        <f t="shared" si="60"/>
        <v>3900.4140000000002</v>
      </c>
      <c r="AM45" s="77">
        <f t="shared" si="61"/>
        <v>2721.4639999999999</v>
      </c>
    </row>
    <row r="46" spans="1:39" x14ac:dyDescent="0.25">
      <c r="A46" s="119" t="s">
        <v>72</v>
      </c>
      <c r="B46" s="80">
        <v>44</v>
      </c>
      <c r="C46" s="75">
        <v>0.94500000000000006</v>
      </c>
      <c r="D46" s="75">
        <v>0.97</v>
      </c>
      <c r="E46" s="75">
        <v>0.91</v>
      </c>
      <c r="F46" s="77">
        <f t="shared" si="34"/>
        <v>12753.8925</v>
      </c>
      <c r="G46" s="77">
        <f t="shared" si="20"/>
        <v>7111.2975000000006</v>
      </c>
      <c r="H46" s="77">
        <f t="shared" si="35"/>
        <v>10459.473750000001</v>
      </c>
      <c r="I46" s="77">
        <f t="shared" si="36"/>
        <v>8932.6312500000004</v>
      </c>
      <c r="J46" s="77">
        <f t="shared" si="21"/>
        <v>5901.5437499999998</v>
      </c>
      <c r="K46" s="77">
        <f t="shared" si="37"/>
        <v>12422.90625</v>
      </c>
      <c r="L46" s="77">
        <f t="shared" si="22"/>
        <v>6244.96875</v>
      </c>
      <c r="M46" s="77">
        <f t="shared" si="38"/>
        <v>10126.41</v>
      </c>
      <c r="N46" s="77">
        <f t="shared" si="39"/>
        <v>7830.9425000000001</v>
      </c>
      <c r="O46" s="77">
        <f t="shared" si="23"/>
        <v>5082.9769999999999</v>
      </c>
      <c r="P46" s="77">
        <f t="shared" si="40"/>
        <v>3792.8999999999996</v>
      </c>
      <c r="Q46" s="77">
        <f t="shared" si="41"/>
        <v>1752.2150000000001</v>
      </c>
      <c r="R46" s="77">
        <f t="shared" si="42"/>
        <v>12668.0625</v>
      </c>
      <c r="S46" s="77">
        <f t="shared" si="43"/>
        <v>10309.86</v>
      </c>
      <c r="T46" s="77">
        <f t="shared" si="44"/>
        <v>7952.1049999999996</v>
      </c>
      <c r="U46" s="77">
        <f t="shared" si="24"/>
        <v>4818.0349999999999</v>
      </c>
      <c r="V46" s="77">
        <f t="shared" si="45"/>
        <v>12668.0625</v>
      </c>
      <c r="W46" s="77">
        <f t="shared" si="46"/>
        <v>10309.86</v>
      </c>
      <c r="X46" s="77">
        <f t="shared" si="47"/>
        <v>6383.9575000000004</v>
      </c>
      <c r="Y46" s="77">
        <f t="shared" si="48"/>
        <v>7481.68</v>
      </c>
      <c r="Z46" s="77">
        <f t="shared" si="49"/>
        <v>6070.2174999999997</v>
      </c>
      <c r="AA46" s="77">
        <f t="shared" si="50"/>
        <v>3987.9364999999998</v>
      </c>
      <c r="AB46" s="77">
        <f t="shared" si="51"/>
        <v>2775.674</v>
      </c>
      <c r="AC46" s="77">
        <f t="shared" si="52"/>
        <v>12079.6875</v>
      </c>
      <c r="AD46" s="77">
        <f t="shared" si="53"/>
        <v>9869.58</v>
      </c>
      <c r="AE46" s="77">
        <f t="shared" si="54"/>
        <v>7661.3150000000005</v>
      </c>
      <c r="AF46" s="77">
        <f t="shared" si="25"/>
        <v>4721.1049999999996</v>
      </c>
      <c r="AG46" s="77">
        <f t="shared" si="55"/>
        <v>12079.6875</v>
      </c>
      <c r="AH46" s="77">
        <f t="shared" si="56"/>
        <v>9869.58</v>
      </c>
      <c r="AI46" s="77">
        <f t="shared" si="57"/>
        <v>6194.3724999999995</v>
      </c>
      <c r="AJ46" s="77">
        <f t="shared" si="58"/>
        <v>7221.04</v>
      </c>
      <c r="AK46" s="77">
        <f t="shared" si="59"/>
        <v>5901.1525000000001</v>
      </c>
      <c r="AL46" s="77">
        <f t="shared" si="60"/>
        <v>3882.9095000000002</v>
      </c>
      <c r="AM46" s="77">
        <f t="shared" si="61"/>
        <v>2710.6220000000003</v>
      </c>
    </row>
    <row r="47" spans="1:39" x14ac:dyDescent="0.25">
      <c r="A47" s="119" t="s">
        <v>56</v>
      </c>
      <c r="B47" s="80">
        <v>45</v>
      </c>
      <c r="C47" s="75">
        <v>0.97</v>
      </c>
      <c r="D47" s="75">
        <v>0.97</v>
      </c>
      <c r="E47" s="75">
        <v>0.92</v>
      </c>
      <c r="F47" s="77">
        <f t="shared" si="34"/>
        <v>12977.805</v>
      </c>
      <c r="G47" s="77">
        <f t="shared" si="20"/>
        <v>7185.9349999999995</v>
      </c>
      <c r="H47" s="77">
        <f t="shared" si="35"/>
        <v>10621.4175</v>
      </c>
      <c r="I47" s="77">
        <f t="shared" si="36"/>
        <v>9052.9124999999985</v>
      </c>
      <c r="J47" s="77">
        <f t="shared" si="21"/>
        <v>5941.6374999999998</v>
      </c>
      <c r="K47" s="77">
        <f t="shared" si="37"/>
        <v>12668.0625</v>
      </c>
      <c r="L47" s="77">
        <f t="shared" si="22"/>
        <v>6326.6875</v>
      </c>
      <c r="M47" s="77">
        <f t="shared" si="38"/>
        <v>10309.86</v>
      </c>
      <c r="N47" s="77">
        <f t="shared" si="39"/>
        <v>7952.1049999999996</v>
      </c>
      <c r="O47" s="77">
        <f t="shared" si="23"/>
        <v>5131.442</v>
      </c>
      <c r="P47" s="77">
        <f t="shared" si="40"/>
        <v>3833.3999999999996</v>
      </c>
      <c r="Q47" s="77">
        <f t="shared" si="41"/>
        <v>1769.3899999999999</v>
      </c>
      <c r="R47" s="77">
        <f t="shared" si="42"/>
        <v>12668.0625</v>
      </c>
      <c r="S47" s="77">
        <f t="shared" si="43"/>
        <v>10309.86</v>
      </c>
      <c r="T47" s="77">
        <f t="shared" si="44"/>
        <v>7952.1049999999996</v>
      </c>
      <c r="U47" s="77">
        <f t="shared" si="24"/>
        <v>4818.0349999999999</v>
      </c>
      <c r="V47" s="77">
        <f t="shared" si="45"/>
        <v>12668.0625</v>
      </c>
      <c r="W47" s="77">
        <f t="shared" si="46"/>
        <v>10309.86</v>
      </c>
      <c r="X47" s="77">
        <f t="shared" si="47"/>
        <v>6383.9575000000004</v>
      </c>
      <c r="Y47" s="77">
        <f t="shared" si="48"/>
        <v>7481.68</v>
      </c>
      <c r="Z47" s="77">
        <f t="shared" si="49"/>
        <v>6070.2174999999997</v>
      </c>
      <c r="AA47" s="77">
        <f t="shared" si="50"/>
        <v>3987.9364999999998</v>
      </c>
      <c r="AB47" s="77">
        <f t="shared" si="51"/>
        <v>2775.674</v>
      </c>
      <c r="AC47" s="77">
        <f t="shared" si="52"/>
        <v>12177.75</v>
      </c>
      <c r="AD47" s="77">
        <f t="shared" si="53"/>
        <v>9942.9600000000009</v>
      </c>
      <c r="AE47" s="77">
        <f t="shared" si="54"/>
        <v>7709.78</v>
      </c>
      <c r="AF47" s="77">
        <f t="shared" si="25"/>
        <v>4737.26</v>
      </c>
      <c r="AG47" s="77">
        <f t="shared" si="55"/>
        <v>12177.75</v>
      </c>
      <c r="AH47" s="77">
        <f t="shared" si="56"/>
        <v>9942.9600000000009</v>
      </c>
      <c r="AI47" s="77">
        <f t="shared" si="57"/>
        <v>6225.97</v>
      </c>
      <c r="AJ47" s="77">
        <f t="shared" si="58"/>
        <v>7264.48</v>
      </c>
      <c r="AK47" s="77">
        <f t="shared" si="59"/>
        <v>5929.33</v>
      </c>
      <c r="AL47" s="77">
        <f t="shared" si="60"/>
        <v>3900.4140000000002</v>
      </c>
      <c r="AM47" s="77">
        <f t="shared" si="61"/>
        <v>2721.4639999999999</v>
      </c>
    </row>
    <row r="48" spans="1:39" x14ac:dyDescent="0.25">
      <c r="A48" s="119" t="s">
        <v>61</v>
      </c>
      <c r="B48" s="80">
        <v>46</v>
      </c>
      <c r="C48" s="75">
        <v>0.98499999999999999</v>
      </c>
      <c r="D48" s="75">
        <v>0.97</v>
      </c>
      <c r="E48" s="75">
        <v>0.91</v>
      </c>
      <c r="F48" s="77">
        <f t="shared" si="34"/>
        <v>13112.1525</v>
      </c>
      <c r="G48" s="77">
        <f t="shared" si="20"/>
        <v>7230.7174999999997</v>
      </c>
      <c r="H48" s="77">
        <f t="shared" si="35"/>
        <v>10718.58375</v>
      </c>
      <c r="I48" s="77">
        <f t="shared" si="36"/>
        <v>9125.0812499999993</v>
      </c>
      <c r="J48" s="77">
        <f t="shared" si="21"/>
        <v>5965.6937500000004</v>
      </c>
      <c r="K48" s="77">
        <f t="shared" si="37"/>
        <v>12815.15625</v>
      </c>
      <c r="L48" s="77">
        <f t="shared" si="22"/>
        <v>6375.71875</v>
      </c>
      <c r="M48" s="77">
        <f t="shared" si="38"/>
        <v>10419.93</v>
      </c>
      <c r="N48" s="77">
        <f t="shared" si="39"/>
        <v>8024.8024999999998</v>
      </c>
      <c r="O48" s="77">
        <f t="shared" si="23"/>
        <v>5160.5209999999997</v>
      </c>
      <c r="P48" s="77">
        <f t="shared" si="40"/>
        <v>3857.7</v>
      </c>
      <c r="Q48" s="77">
        <f t="shared" si="41"/>
        <v>1779.6950000000002</v>
      </c>
      <c r="R48" s="77">
        <f t="shared" si="42"/>
        <v>12668.0625</v>
      </c>
      <c r="S48" s="77">
        <f t="shared" si="43"/>
        <v>10309.86</v>
      </c>
      <c r="T48" s="77">
        <f t="shared" si="44"/>
        <v>7952.1049999999996</v>
      </c>
      <c r="U48" s="77">
        <f t="shared" si="24"/>
        <v>4818.0349999999999</v>
      </c>
      <c r="V48" s="77">
        <f t="shared" si="45"/>
        <v>12668.0625</v>
      </c>
      <c r="W48" s="77">
        <f t="shared" si="46"/>
        <v>10309.86</v>
      </c>
      <c r="X48" s="77">
        <f t="shared" si="47"/>
        <v>6383.9575000000004</v>
      </c>
      <c r="Y48" s="77">
        <f t="shared" si="48"/>
        <v>7481.68</v>
      </c>
      <c r="Z48" s="77">
        <f t="shared" si="49"/>
        <v>6070.2174999999997</v>
      </c>
      <c r="AA48" s="77">
        <f t="shared" si="50"/>
        <v>3987.9364999999998</v>
      </c>
      <c r="AB48" s="77">
        <f t="shared" si="51"/>
        <v>2775.674</v>
      </c>
      <c r="AC48" s="77">
        <f t="shared" si="52"/>
        <v>12079.6875</v>
      </c>
      <c r="AD48" s="77">
        <f t="shared" si="53"/>
        <v>9869.58</v>
      </c>
      <c r="AE48" s="77">
        <f t="shared" si="54"/>
        <v>7661.3150000000005</v>
      </c>
      <c r="AF48" s="77">
        <f t="shared" si="25"/>
        <v>4721.1049999999996</v>
      </c>
      <c r="AG48" s="77">
        <f t="shared" si="55"/>
        <v>12079.6875</v>
      </c>
      <c r="AH48" s="77">
        <f t="shared" si="56"/>
        <v>9869.58</v>
      </c>
      <c r="AI48" s="77">
        <f t="shared" si="57"/>
        <v>6194.3724999999995</v>
      </c>
      <c r="AJ48" s="77">
        <f t="shared" si="58"/>
        <v>7221.04</v>
      </c>
      <c r="AK48" s="77">
        <f t="shared" si="59"/>
        <v>5901.1525000000001</v>
      </c>
      <c r="AL48" s="77">
        <f t="shared" si="60"/>
        <v>3882.9095000000002</v>
      </c>
      <c r="AM48" s="77">
        <f t="shared" si="61"/>
        <v>2710.6220000000003</v>
      </c>
    </row>
    <row r="49" spans="1:39" x14ac:dyDescent="0.25">
      <c r="A49" s="119" t="s">
        <v>73</v>
      </c>
      <c r="B49" s="80">
        <v>47</v>
      </c>
      <c r="C49" s="75">
        <v>0.95</v>
      </c>
      <c r="D49" s="75">
        <v>0.96</v>
      </c>
      <c r="E49" s="75">
        <v>0.91</v>
      </c>
      <c r="F49" s="77">
        <f t="shared" si="34"/>
        <v>12798.674999999999</v>
      </c>
      <c r="G49" s="77">
        <f t="shared" si="20"/>
        <v>7126.2250000000004</v>
      </c>
      <c r="H49" s="77">
        <f t="shared" si="35"/>
        <v>10491.862499999999</v>
      </c>
      <c r="I49" s="77">
        <f t="shared" si="36"/>
        <v>8956.6875</v>
      </c>
      <c r="J49" s="77">
        <f t="shared" si="21"/>
        <v>5909.5625</v>
      </c>
      <c r="K49" s="77">
        <f t="shared" si="37"/>
        <v>12471.9375</v>
      </c>
      <c r="L49" s="77">
        <f t="shared" si="22"/>
        <v>6261.3125</v>
      </c>
      <c r="M49" s="77">
        <f t="shared" si="38"/>
        <v>10163.099999999999</v>
      </c>
      <c r="N49" s="77">
        <f t="shared" si="39"/>
        <v>7855.1750000000002</v>
      </c>
      <c r="O49" s="77">
        <f t="shared" si="23"/>
        <v>5092.67</v>
      </c>
      <c r="P49" s="77">
        <f t="shared" si="40"/>
        <v>3801</v>
      </c>
      <c r="Q49" s="77">
        <f t="shared" si="41"/>
        <v>1755.65</v>
      </c>
      <c r="R49" s="77">
        <f t="shared" si="42"/>
        <v>12570</v>
      </c>
      <c r="S49" s="77">
        <f t="shared" si="43"/>
        <v>10236.48</v>
      </c>
      <c r="T49" s="77">
        <f t="shared" si="44"/>
        <v>7903.6399999999994</v>
      </c>
      <c r="U49" s="77">
        <f t="shared" si="24"/>
        <v>4801.88</v>
      </c>
      <c r="V49" s="77">
        <f t="shared" si="45"/>
        <v>12570</v>
      </c>
      <c r="W49" s="77">
        <f t="shared" si="46"/>
        <v>10236.48</v>
      </c>
      <c r="X49" s="77">
        <f t="shared" si="47"/>
        <v>6352.36</v>
      </c>
      <c r="Y49" s="77">
        <f t="shared" si="48"/>
        <v>7438.24</v>
      </c>
      <c r="Z49" s="77">
        <f t="shared" si="49"/>
        <v>6042.04</v>
      </c>
      <c r="AA49" s="77">
        <f t="shared" si="50"/>
        <v>3970.4319999999998</v>
      </c>
      <c r="AB49" s="77">
        <f t="shared" si="51"/>
        <v>2764.8320000000003</v>
      </c>
      <c r="AC49" s="77">
        <f t="shared" si="52"/>
        <v>12079.6875</v>
      </c>
      <c r="AD49" s="77">
        <f t="shared" si="53"/>
        <v>9869.58</v>
      </c>
      <c r="AE49" s="77">
        <f t="shared" si="54"/>
        <v>7661.3150000000005</v>
      </c>
      <c r="AF49" s="77">
        <f t="shared" si="25"/>
        <v>4721.1049999999996</v>
      </c>
      <c r="AG49" s="77">
        <f t="shared" si="55"/>
        <v>12079.6875</v>
      </c>
      <c r="AH49" s="77">
        <f t="shared" si="56"/>
        <v>9869.58</v>
      </c>
      <c r="AI49" s="77">
        <f t="shared" si="57"/>
        <v>6194.3724999999995</v>
      </c>
      <c r="AJ49" s="77">
        <f t="shared" si="58"/>
        <v>7221.04</v>
      </c>
      <c r="AK49" s="77">
        <f t="shared" si="59"/>
        <v>5901.1525000000001</v>
      </c>
      <c r="AL49" s="77">
        <f t="shared" si="60"/>
        <v>3882.9095000000002</v>
      </c>
      <c r="AM49" s="77">
        <f t="shared" si="61"/>
        <v>2710.6220000000003</v>
      </c>
    </row>
    <row r="50" spans="1:39" x14ac:dyDescent="0.25">
      <c r="A50" s="119" t="s">
        <v>59</v>
      </c>
      <c r="B50" s="80">
        <v>48</v>
      </c>
      <c r="C50" s="75">
        <v>0.95500000000000007</v>
      </c>
      <c r="D50" s="75">
        <v>0.97</v>
      </c>
      <c r="E50" s="75">
        <v>0.91</v>
      </c>
      <c r="F50" s="77">
        <f t="shared" si="34"/>
        <v>12843.4575</v>
      </c>
      <c r="G50" s="77">
        <f t="shared" si="20"/>
        <v>7141.1525000000001</v>
      </c>
      <c r="H50" s="77">
        <f t="shared" si="35"/>
        <v>10524.251250000001</v>
      </c>
      <c r="I50" s="77">
        <f t="shared" si="36"/>
        <v>8980.7437500000015</v>
      </c>
      <c r="J50" s="77">
        <f t="shared" si="21"/>
        <v>5917.5812500000002</v>
      </c>
      <c r="K50" s="77">
        <f t="shared" si="37"/>
        <v>12520.968750000002</v>
      </c>
      <c r="L50" s="77">
        <f t="shared" si="22"/>
        <v>6277.65625</v>
      </c>
      <c r="M50" s="77">
        <f t="shared" si="38"/>
        <v>10199.790000000001</v>
      </c>
      <c r="N50" s="77">
        <f t="shared" si="39"/>
        <v>7879.4075000000003</v>
      </c>
      <c r="O50" s="77">
        <f t="shared" si="23"/>
        <v>5102.3630000000003</v>
      </c>
      <c r="P50" s="77">
        <f t="shared" si="40"/>
        <v>3809.1</v>
      </c>
      <c r="Q50" s="77">
        <f t="shared" si="41"/>
        <v>1759.085</v>
      </c>
      <c r="R50" s="77">
        <f t="shared" si="42"/>
        <v>12668.0625</v>
      </c>
      <c r="S50" s="77">
        <f t="shared" si="43"/>
        <v>10309.86</v>
      </c>
      <c r="T50" s="77">
        <f t="shared" si="44"/>
        <v>7952.1049999999996</v>
      </c>
      <c r="U50" s="77">
        <f t="shared" si="24"/>
        <v>4818.0349999999999</v>
      </c>
      <c r="V50" s="77">
        <f t="shared" si="45"/>
        <v>12668.0625</v>
      </c>
      <c r="W50" s="77">
        <f t="shared" si="46"/>
        <v>10309.86</v>
      </c>
      <c r="X50" s="77">
        <f t="shared" si="47"/>
        <v>6383.9575000000004</v>
      </c>
      <c r="Y50" s="77">
        <f t="shared" si="48"/>
        <v>7481.68</v>
      </c>
      <c r="Z50" s="77">
        <f t="shared" si="49"/>
        <v>6070.2174999999997</v>
      </c>
      <c r="AA50" s="77">
        <f t="shared" si="50"/>
        <v>3987.9364999999998</v>
      </c>
      <c r="AB50" s="77">
        <f t="shared" si="51"/>
        <v>2775.674</v>
      </c>
      <c r="AC50" s="77">
        <f t="shared" si="52"/>
        <v>12079.6875</v>
      </c>
      <c r="AD50" s="77">
        <f t="shared" si="53"/>
        <v>9869.58</v>
      </c>
      <c r="AE50" s="77">
        <f t="shared" si="54"/>
        <v>7661.3150000000005</v>
      </c>
      <c r="AF50" s="77">
        <f t="shared" si="25"/>
        <v>4721.1049999999996</v>
      </c>
      <c r="AG50" s="77">
        <f t="shared" si="55"/>
        <v>12079.6875</v>
      </c>
      <c r="AH50" s="77">
        <f t="shared" si="56"/>
        <v>9869.58</v>
      </c>
      <c r="AI50" s="77">
        <f t="shared" si="57"/>
        <v>6194.3724999999995</v>
      </c>
      <c r="AJ50" s="77">
        <f t="shared" si="58"/>
        <v>7221.04</v>
      </c>
      <c r="AK50" s="77">
        <f t="shared" si="59"/>
        <v>5901.1525000000001</v>
      </c>
      <c r="AL50" s="77">
        <f t="shared" si="60"/>
        <v>3882.9095000000002</v>
      </c>
      <c r="AM50" s="77">
        <f t="shared" si="61"/>
        <v>2710.6220000000003</v>
      </c>
    </row>
    <row r="51" spans="1:39" x14ac:dyDescent="0.25">
      <c r="A51" s="119" t="s">
        <v>80</v>
      </c>
      <c r="B51" s="80">
        <v>49</v>
      </c>
      <c r="C51" s="75">
        <v>0.94</v>
      </c>
      <c r="D51" s="75">
        <v>0.97</v>
      </c>
      <c r="E51" s="75">
        <v>0.91</v>
      </c>
      <c r="F51" s="77">
        <f t="shared" si="34"/>
        <v>12709.11</v>
      </c>
      <c r="G51" s="77">
        <f t="shared" si="20"/>
        <v>7096.37</v>
      </c>
      <c r="H51" s="77">
        <f t="shared" si="35"/>
        <v>10427.084999999999</v>
      </c>
      <c r="I51" s="77">
        <f t="shared" si="36"/>
        <v>8908.5750000000007</v>
      </c>
      <c r="J51" s="77">
        <f t="shared" si="21"/>
        <v>5893.5249999999996</v>
      </c>
      <c r="K51" s="77">
        <f t="shared" si="37"/>
        <v>12373.875</v>
      </c>
      <c r="L51" s="77">
        <f t="shared" si="22"/>
        <v>6228.625</v>
      </c>
      <c r="M51" s="77">
        <f t="shared" si="38"/>
        <v>10089.719999999999</v>
      </c>
      <c r="N51" s="77">
        <f t="shared" si="39"/>
        <v>7806.71</v>
      </c>
      <c r="O51" s="77">
        <f t="shared" si="23"/>
        <v>5073.2839999999997</v>
      </c>
      <c r="P51" s="77">
        <f t="shared" si="40"/>
        <v>3784.8</v>
      </c>
      <c r="Q51" s="77">
        <f t="shared" si="41"/>
        <v>1748.78</v>
      </c>
      <c r="R51" s="77">
        <f t="shared" si="42"/>
        <v>12668.0625</v>
      </c>
      <c r="S51" s="77">
        <f t="shared" si="43"/>
        <v>10309.86</v>
      </c>
      <c r="T51" s="77">
        <f t="shared" si="44"/>
        <v>7952.1049999999996</v>
      </c>
      <c r="U51" s="77">
        <f t="shared" si="24"/>
        <v>4818.0349999999999</v>
      </c>
      <c r="V51" s="77">
        <f t="shared" si="45"/>
        <v>12668.0625</v>
      </c>
      <c r="W51" s="77">
        <f t="shared" si="46"/>
        <v>10309.86</v>
      </c>
      <c r="X51" s="77">
        <f t="shared" si="47"/>
        <v>6383.9575000000004</v>
      </c>
      <c r="Y51" s="77">
        <f t="shared" si="48"/>
        <v>7481.68</v>
      </c>
      <c r="Z51" s="77">
        <f t="shared" si="49"/>
        <v>6070.2174999999997</v>
      </c>
      <c r="AA51" s="77">
        <f t="shared" si="50"/>
        <v>3987.9364999999998</v>
      </c>
      <c r="AB51" s="77">
        <f t="shared" si="51"/>
        <v>2775.674</v>
      </c>
      <c r="AC51" s="77">
        <f t="shared" si="52"/>
        <v>12079.6875</v>
      </c>
      <c r="AD51" s="77">
        <f t="shared" si="53"/>
        <v>9869.58</v>
      </c>
      <c r="AE51" s="77">
        <f t="shared" si="54"/>
        <v>7661.3150000000005</v>
      </c>
      <c r="AF51" s="77">
        <f t="shared" si="25"/>
        <v>4721.1049999999996</v>
      </c>
      <c r="AG51" s="77">
        <f t="shared" si="55"/>
        <v>12079.6875</v>
      </c>
      <c r="AH51" s="77">
        <f t="shared" si="56"/>
        <v>9869.58</v>
      </c>
      <c r="AI51" s="77">
        <f t="shared" si="57"/>
        <v>6194.3724999999995</v>
      </c>
      <c r="AJ51" s="77">
        <f t="shared" si="58"/>
        <v>7221.04</v>
      </c>
      <c r="AK51" s="77">
        <f t="shared" si="59"/>
        <v>5901.1525000000001</v>
      </c>
      <c r="AL51" s="77">
        <f t="shared" si="60"/>
        <v>3882.9095000000002</v>
      </c>
      <c r="AM51" s="77">
        <f t="shared" si="61"/>
        <v>2710.6220000000003</v>
      </c>
    </row>
    <row r="52" spans="1:39" x14ac:dyDescent="0.25">
      <c r="A52" s="119" t="s">
        <v>90</v>
      </c>
      <c r="B52" s="80">
        <v>50</v>
      </c>
      <c r="C52" s="180">
        <v>0.91999999999999993</v>
      </c>
      <c r="D52" s="75">
        <v>0.97</v>
      </c>
      <c r="E52" s="75">
        <v>0.94</v>
      </c>
      <c r="F52" s="77">
        <f t="shared" si="34"/>
        <v>12529.98</v>
      </c>
      <c r="G52" s="77">
        <f t="shared" si="20"/>
        <v>7036.66</v>
      </c>
      <c r="H52" s="77">
        <f t="shared" si="35"/>
        <v>10297.529999999999</v>
      </c>
      <c r="I52" s="77">
        <f t="shared" si="36"/>
        <v>8812.3499999999985</v>
      </c>
      <c r="J52" s="77">
        <f t="shared" si="21"/>
        <v>5861.45</v>
      </c>
      <c r="K52" s="77">
        <f t="shared" si="37"/>
        <v>12177.749999999998</v>
      </c>
      <c r="L52" s="77">
        <f t="shared" si="22"/>
        <v>6163.25</v>
      </c>
      <c r="M52" s="77">
        <f t="shared" si="38"/>
        <v>9942.9599999999991</v>
      </c>
      <c r="N52" s="77">
        <f t="shared" si="39"/>
        <v>7709.78</v>
      </c>
      <c r="O52" s="77">
        <f t="shared" si="23"/>
        <v>5034.5119999999997</v>
      </c>
      <c r="P52" s="77">
        <f t="shared" si="40"/>
        <v>3752.3999999999996</v>
      </c>
      <c r="Q52" s="77">
        <f t="shared" si="41"/>
        <v>1735.04</v>
      </c>
      <c r="R52" s="77">
        <f t="shared" si="42"/>
        <v>12668.0625</v>
      </c>
      <c r="S52" s="77">
        <f t="shared" si="43"/>
        <v>10309.86</v>
      </c>
      <c r="T52" s="77">
        <f t="shared" si="44"/>
        <v>7952.1049999999996</v>
      </c>
      <c r="U52" s="77">
        <f t="shared" si="24"/>
        <v>4818.0349999999999</v>
      </c>
      <c r="V52" s="77">
        <f t="shared" si="45"/>
        <v>12668.0625</v>
      </c>
      <c r="W52" s="77">
        <f t="shared" si="46"/>
        <v>10309.86</v>
      </c>
      <c r="X52" s="77">
        <f t="shared" si="47"/>
        <v>6383.9575000000004</v>
      </c>
      <c r="Y52" s="77">
        <f t="shared" si="48"/>
        <v>7481.68</v>
      </c>
      <c r="Z52" s="77">
        <f t="shared" si="49"/>
        <v>6070.2174999999997</v>
      </c>
      <c r="AA52" s="77">
        <f t="shared" si="50"/>
        <v>3987.9364999999998</v>
      </c>
      <c r="AB52" s="77">
        <f t="shared" si="51"/>
        <v>2775.674</v>
      </c>
      <c r="AC52" s="77">
        <f t="shared" si="52"/>
        <v>12373.875</v>
      </c>
      <c r="AD52" s="77">
        <f t="shared" si="53"/>
        <v>10089.719999999999</v>
      </c>
      <c r="AE52" s="77">
        <f t="shared" si="54"/>
        <v>7806.71</v>
      </c>
      <c r="AF52" s="77">
        <f t="shared" si="25"/>
        <v>4769.57</v>
      </c>
      <c r="AG52" s="77">
        <f t="shared" si="55"/>
        <v>12373.875</v>
      </c>
      <c r="AH52" s="77">
        <f t="shared" si="56"/>
        <v>10089.719999999999</v>
      </c>
      <c r="AI52" s="77">
        <f t="shared" si="57"/>
        <v>6289.165</v>
      </c>
      <c r="AJ52" s="77">
        <f t="shared" si="58"/>
        <v>7351.36</v>
      </c>
      <c r="AK52" s="77">
        <f t="shared" si="59"/>
        <v>5985.6849999999995</v>
      </c>
      <c r="AL52" s="77">
        <f t="shared" si="60"/>
        <v>3935.4229999999998</v>
      </c>
      <c r="AM52" s="77">
        <f t="shared" si="61"/>
        <v>2743.1480000000001</v>
      </c>
    </row>
    <row r="53" spans="1:39" x14ac:dyDescent="0.25">
      <c r="A53" s="119" t="s">
        <v>91</v>
      </c>
      <c r="B53" s="80">
        <v>51</v>
      </c>
      <c r="C53" s="180">
        <v>0.92500000000000004</v>
      </c>
      <c r="D53" s="75">
        <v>0.97</v>
      </c>
      <c r="E53" s="75">
        <v>0.91</v>
      </c>
      <c r="F53" s="77">
        <f t="shared" si="34"/>
        <v>12574.762500000001</v>
      </c>
      <c r="G53" s="77">
        <f t="shared" si="20"/>
        <v>7051.5874999999996</v>
      </c>
      <c r="H53" s="77">
        <f t="shared" si="35"/>
        <v>10329.918750000001</v>
      </c>
      <c r="I53" s="77">
        <f t="shared" si="36"/>
        <v>8836.40625</v>
      </c>
      <c r="J53" s="77">
        <f t="shared" si="21"/>
        <v>5869.46875</v>
      </c>
      <c r="K53" s="77">
        <f t="shared" si="37"/>
        <v>12226.78125</v>
      </c>
      <c r="L53" s="77">
        <f t="shared" si="22"/>
        <v>6179.59375</v>
      </c>
      <c r="M53" s="77">
        <f t="shared" si="38"/>
        <v>9979.6500000000015</v>
      </c>
      <c r="N53" s="77">
        <f t="shared" si="39"/>
        <v>7734.0124999999998</v>
      </c>
      <c r="O53" s="77">
        <f t="shared" si="23"/>
        <v>5044.2049999999999</v>
      </c>
      <c r="P53" s="77">
        <f t="shared" si="40"/>
        <v>3760.5</v>
      </c>
      <c r="Q53" s="77">
        <f t="shared" si="41"/>
        <v>1738.4749999999999</v>
      </c>
      <c r="R53" s="77">
        <f t="shared" si="42"/>
        <v>12668.0625</v>
      </c>
      <c r="S53" s="77">
        <f t="shared" si="43"/>
        <v>10309.86</v>
      </c>
      <c r="T53" s="77">
        <f t="shared" si="44"/>
        <v>7952.1049999999996</v>
      </c>
      <c r="U53" s="77">
        <f t="shared" si="24"/>
        <v>4818.0349999999999</v>
      </c>
      <c r="V53" s="77">
        <f t="shared" si="45"/>
        <v>12668.0625</v>
      </c>
      <c r="W53" s="77">
        <f t="shared" si="46"/>
        <v>10309.86</v>
      </c>
      <c r="X53" s="77">
        <f t="shared" si="47"/>
        <v>6383.9575000000004</v>
      </c>
      <c r="Y53" s="77">
        <f t="shared" si="48"/>
        <v>7481.68</v>
      </c>
      <c r="Z53" s="77">
        <f t="shared" si="49"/>
        <v>6070.2174999999997</v>
      </c>
      <c r="AA53" s="77">
        <f t="shared" si="50"/>
        <v>3987.9364999999998</v>
      </c>
      <c r="AB53" s="77">
        <f t="shared" si="51"/>
        <v>2775.674</v>
      </c>
      <c r="AC53" s="77">
        <f t="shared" si="52"/>
        <v>12079.6875</v>
      </c>
      <c r="AD53" s="77">
        <f t="shared" si="53"/>
        <v>9869.58</v>
      </c>
      <c r="AE53" s="77">
        <f t="shared" si="54"/>
        <v>7661.3150000000005</v>
      </c>
      <c r="AF53" s="77">
        <f t="shared" si="25"/>
        <v>4721.1049999999996</v>
      </c>
      <c r="AG53" s="77">
        <f t="shared" si="55"/>
        <v>12079.6875</v>
      </c>
      <c r="AH53" s="77">
        <f t="shared" si="56"/>
        <v>9869.58</v>
      </c>
      <c r="AI53" s="77">
        <f t="shared" si="57"/>
        <v>6194.3724999999995</v>
      </c>
      <c r="AJ53" s="77">
        <f t="shared" si="58"/>
        <v>7221.04</v>
      </c>
      <c r="AK53" s="77">
        <f t="shared" si="59"/>
        <v>5901.1525000000001</v>
      </c>
      <c r="AL53" s="77">
        <f t="shared" si="60"/>
        <v>3882.9095000000002</v>
      </c>
      <c r="AM53" s="77">
        <f t="shared" si="61"/>
        <v>2710.6220000000003</v>
      </c>
    </row>
    <row r="54" spans="1:39" x14ac:dyDescent="0.25">
      <c r="A54" s="119" t="s">
        <v>74</v>
      </c>
      <c r="B54" s="80">
        <v>52</v>
      </c>
      <c r="C54" s="180">
        <v>0.94500000000000006</v>
      </c>
      <c r="D54" s="75">
        <v>0.97</v>
      </c>
      <c r="E54" s="75">
        <v>0.91</v>
      </c>
      <c r="F54" s="77">
        <f t="shared" si="34"/>
        <v>12753.8925</v>
      </c>
      <c r="G54" s="77">
        <f t="shared" si="20"/>
        <v>7111.2975000000006</v>
      </c>
      <c r="H54" s="77">
        <f t="shared" si="35"/>
        <v>10459.473750000001</v>
      </c>
      <c r="I54" s="77">
        <f t="shared" si="36"/>
        <v>8932.6312500000004</v>
      </c>
      <c r="J54" s="77">
        <f t="shared" si="21"/>
        <v>5901.5437499999998</v>
      </c>
      <c r="K54" s="77">
        <f t="shared" si="37"/>
        <v>12422.90625</v>
      </c>
      <c r="L54" s="77">
        <f t="shared" si="22"/>
        <v>6244.96875</v>
      </c>
      <c r="M54" s="77">
        <f t="shared" si="38"/>
        <v>10126.41</v>
      </c>
      <c r="N54" s="77">
        <f t="shared" si="39"/>
        <v>7830.9425000000001</v>
      </c>
      <c r="O54" s="77">
        <f t="shared" si="23"/>
        <v>5082.9769999999999</v>
      </c>
      <c r="P54" s="77">
        <f t="shared" si="40"/>
        <v>3792.8999999999996</v>
      </c>
      <c r="Q54" s="77">
        <f t="shared" si="41"/>
        <v>1752.2150000000001</v>
      </c>
      <c r="R54" s="77">
        <f t="shared" si="42"/>
        <v>12668.0625</v>
      </c>
      <c r="S54" s="77">
        <f t="shared" si="43"/>
        <v>10309.86</v>
      </c>
      <c r="T54" s="77">
        <f t="shared" si="44"/>
        <v>7952.1049999999996</v>
      </c>
      <c r="U54" s="77">
        <f t="shared" si="24"/>
        <v>4818.0349999999999</v>
      </c>
      <c r="V54" s="77">
        <f t="shared" si="45"/>
        <v>12668.0625</v>
      </c>
      <c r="W54" s="77">
        <f t="shared" si="46"/>
        <v>10309.86</v>
      </c>
      <c r="X54" s="77">
        <f t="shared" si="47"/>
        <v>6383.9575000000004</v>
      </c>
      <c r="Y54" s="77">
        <f t="shared" si="48"/>
        <v>7481.68</v>
      </c>
      <c r="Z54" s="77">
        <f t="shared" si="49"/>
        <v>6070.2174999999997</v>
      </c>
      <c r="AA54" s="77">
        <f t="shared" si="50"/>
        <v>3987.9364999999998</v>
      </c>
      <c r="AB54" s="77">
        <f t="shared" si="51"/>
        <v>2775.674</v>
      </c>
      <c r="AC54" s="77">
        <f t="shared" si="52"/>
        <v>12079.6875</v>
      </c>
      <c r="AD54" s="77">
        <f t="shared" si="53"/>
        <v>9869.58</v>
      </c>
      <c r="AE54" s="77">
        <f t="shared" si="54"/>
        <v>7661.3150000000005</v>
      </c>
      <c r="AF54" s="77">
        <f t="shared" si="25"/>
        <v>4721.1049999999996</v>
      </c>
      <c r="AG54" s="77">
        <f t="shared" si="55"/>
        <v>12079.6875</v>
      </c>
      <c r="AH54" s="77">
        <f t="shared" si="56"/>
        <v>9869.58</v>
      </c>
      <c r="AI54" s="77">
        <f t="shared" si="57"/>
        <v>6194.3724999999995</v>
      </c>
      <c r="AJ54" s="77">
        <f t="shared" si="58"/>
        <v>7221.04</v>
      </c>
      <c r="AK54" s="77">
        <f t="shared" si="59"/>
        <v>5901.1525000000001</v>
      </c>
      <c r="AL54" s="77">
        <f t="shared" si="60"/>
        <v>3882.9095000000002</v>
      </c>
      <c r="AM54" s="77">
        <f t="shared" si="61"/>
        <v>2710.6220000000003</v>
      </c>
    </row>
    <row r="55" spans="1:39" x14ac:dyDescent="0.25">
      <c r="A55" s="119" t="s">
        <v>99</v>
      </c>
      <c r="B55" s="80">
        <v>53</v>
      </c>
      <c r="C55" s="180">
        <v>0.91500000000000004</v>
      </c>
      <c r="D55" s="75">
        <v>0.97</v>
      </c>
      <c r="E55" s="75">
        <v>0.9</v>
      </c>
      <c r="F55" s="77">
        <f t="shared" si="34"/>
        <v>12485.1975</v>
      </c>
      <c r="G55" s="77">
        <f t="shared" si="20"/>
        <v>7021.7325000000001</v>
      </c>
      <c r="H55" s="77">
        <f t="shared" si="35"/>
        <v>10265.141250000001</v>
      </c>
      <c r="I55" s="77">
        <f t="shared" si="36"/>
        <v>8788.2937500000007</v>
      </c>
      <c r="J55" s="77">
        <f t="shared" si="21"/>
        <v>5853.4312499999996</v>
      </c>
      <c r="K55" s="77">
        <f t="shared" si="37"/>
        <v>12128.71875</v>
      </c>
      <c r="L55" s="77">
        <f t="shared" si="22"/>
        <v>6146.90625</v>
      </c>
      <c r="M55" s="77">
        <f t="shared" si="38"/>
        <v>9906.27</v>
      </c>
      <c r="N55" s="77">
        <f t="shared" si="39"/>
        <v>7685.5475000000006</v>
      </c>
      <c r="O55" s="77">
        <f t="shared" si="23"/>
        <v>5024.8189999999995</v>
      </c>
      <c r="P55" s="77">
        <f t="shared" si="40"/>
        <v>3744.3</v>
      </c>
      <c r="Q55" s="77">
        <f t="shared" si="41"/>
        <v>1731.605</v>
      </c>
      <c r="R55" s="77">
        <f t="shared" si="42"/>
        <v>12668.0625</v>
      </c>
      <c r="S55" s="77">
        <f t="shared" si="43"/>
        <v>10309.86</v>
      </c>
      <c r="T55" s="77">
        <f t="shared" si="44"/>
        <v>7952.1049999999996</v>
      </c>
      <c r="U55" s="77">
        <f t="shared" si="24"/>
        <v>4818.0349999999999</v>
      </c>
      <c r="V55" s="77">
        <f t="shared" si="45"/>
        <v>12668.0625</v>
      </c>
      <c r="W55" s="77">
        <f t="shared" si="46"/>
        <v>10309.86</v>
      </c>
      <c r="X55" s="77">
        <f t="shared" si="47"/>
        <v>6383.9575000000004</v>
      </c>
      <c r="Y55" s="77">
        <f t="shared" si="48"/>
        <v>7481.68</v>
      </c>
      <c r="Z55" s="77">
        <f t="shared" si="49"/>
        <v>6070.2174999999997</v>
      </c>
      <c r="AA55" s="77">
        <f t="shared" si="50"/>
        <v>3987.9364999999998</v>
      </c>
      <c r="AB55" s="77">
        <f t="shared" si="51"/>
        <v>2775.674</v>
      </c>
      <c r="AC55" s="77">
        <f t="shared" si="52"/>
        <v>11981.625</v>
      </c>
      <c r="AD55" s="77">
        <f t="shared" si="53"/>
        <v>9796.2000000000007</v>
      </c>
      <c r="AE55" s="77">
        <f t="shared" si="54"/>
        <v>7612.85</v>
      </c>
      <c r="AF55" s="77">
        <f t="shared" si="25"/>
        <v>4704.95</v>
      </c>
      <c r="AG55" s="77">
        <f t="shared" si="55"/>
        <v>11981.625</v>
      </c>
      <c r="AH55" s="77">
        <f t="shared" si="56"/>
        <v>9796.2000000000007</v>
      </c>
      <c r="AI55" s="77">
        <f t="shared" si="57"/>
        <v>6162.7749999999996</v>
      </c>
      <c r="AJ55" s="77">
        <f t="shared" si="58"/>
        <v>7177.6</v>
      </c>
      <c r="AK55" s="77">
        <f t="shared" si="59"/>
        <v>5872.9750000000004</v>
      </c>
      <c r="AL55" s="77">
        <f t="shared" si="60"/>
        <v>3865.4049999999997</v>
      </c>
      <c r="AM55" s="77">
        <f t="shared" si="61"/>
        <v>2699.78</v>
      </c>
    </row>
    <row r="56" spans="1:39" x14ac:dyDescent="0.25">
      <c r="A56" s="119" t="s">
        <v>62</v>
      </c>
      <c r="B56" s="80">
        <v>54</v>
      </c>
      <c r="C56" s="180">
        <v>0.97</v>
      </c>
      <c r="D56" s="75">
        <v>0.96</v>
      </c>
      <c r="E56" s="75">
        <v>0.89</v>
      </c>
      <c r="F56" s="77">
        <f t="shared" si="34"/>
        <v>12977.805</v>
      </c>
      <c r="G56" s="77">
        <f t="shared" si="20"/>
        <v>7185.9349999999995</v>
      </c>
      <c r="H56" s="77">
        <f t="shared" si="35"/>
        <v>10621.4175</v>
      </c>
      <c r="I56" s="77">
        <f t="shared" si="36"/>
        <v>9052.9124999999985</v>
      </c>
      <c r="J56" s="77">
        <f t="shared" si="21"/>
        <v>5941.6374999999998</v>
      </c>
      <c r="K56" s="77">
        <f t="shared" si="37"/>
        <v>12668.0625</v>
      </c>
      <c r="L56" s="77">
        <f t="shared" si="22"/>
        <v>6326.6875</v>
      </c>
      <c r="M56" s="77">
        <f t="shared" si="38"/>
        <v>10309.86</v>
      </c>
      <c r="N56" s="77">
        <f t="shared" si="39"/>
        <v>7952.1049999999996</v>
      </c>
      <c r="O56" s="77">
        <f t="shared" si="23"/>
        <v>5131.442</v>
      </c>
      <c r="P56" s="77">
        <f t="shared" si="40"/>
        <v>3833.3999999999996</v>
      </c>
      <c r="Q56" s="77">
        <f t="shared" si="41"/>
        <v>1769.3899999999999</v>
      </c>
      <c r="R56" s="77">
        <f t="shared" si="42"/>
        <v>12570</v>
      </c>
      <c r="S56" s="77">
        <f t="shared" si="43"/>
        <v>10236.48</v>
      </c>
      <c r="T56" s="77">
        <f t="shared" si="44"/>
        <v>7903.6399999999994</v>
      </c>
      <c r="U56" s="77">
        <f t="shared" si="24"/>
        <v>4801.88</v>
      </c>
      <c r="V56" s="77">
        <f t="shared" si="45"/>
        <v>12570</v>
      </c>
      <c r="W56" s="77">
        <f t="shared" si="46"/>
        <v>10236.48</v>
      </c>
      <c r="X56" s="77">
        <f t="shared" si="47"/>
        <v>6352.36</v>
      </c>
      <c r="Y56" s="77">
        <f t="shared" si="48"/>
        <v>7438.24</v>
      </c>
      <c r="Z56" s="77">
        <f t="shared" si="49"/>
        <v>6042.04</v>
      </c>
      <c r="AA56" s="77">
        <f t="shared" si="50"/>
        <v>3970.4319999999998</v>
      </c>
      <c r="AB56" s="77">
        <f t="shared" si="51"/>
        <v>2764.8320000000003</v>
      </c>
      <c r="AC56" s="77">
        <f t="shared" si="52"/>
        <v>11883.5625</v>
      </c>
      <c r="AD56" s="77">
        <f t="shared" si="53"/>
        <v>9722.82</v>
      </c>
      <c r="AE56" s="77">
        <f t="shared" si="54"/>
        <v>7564.3850000000002</v>
      </c>
      <c r="AF56" s="77">
        <f t="shared" si="25"/>
        <v>4688.7950000000001</v>
      </c>
      <c r="AG56" s="77">
        <f t="shared" si="55"/>
        <v>11883.5625</v>
      </c>
      <c r="AH56" s="77">
        <f t="shared" si="56"/>
        <v>9722.82</v>
      </c>
      <c r="AI56" s="77">
        <f t="shared" si="57"/>
        <v>6131.1774999999998</v>
      </c>
      <c r="AJ56" s="77">
        <f t="shared" si="58"/>
        <v>7134.16</v>
      </c>
      <c r="AK56" s="77">
        <f t="shared" si="59"/>
        <v>5844.7975000000006</v>
      </c>
      <c r="AL56" s="77">
        <f t="shared" si="60"/>
        <v>3847.9004999999997</v>
      </c>
      <c r="AM56" s="77">
        <f t="shared" si="61"/>
        <v>2688.9380000000001</v>
      </c>
    </row>
    <row r="57" spans="1:39" x14ac:dyDescent="0.25">
      <c r="A57" s="119" t="s">
        <v>47</v>
      </c>
      <c r="B57" s="80">
        <v>55</v>
      </c>
      <c r="C57" s="180">
        <v>0.98</v>
      </c>
      <c r="D57" s="75">
        <v>0.97</v>
      </c>
      <c r="E57" s="75">
        <v>0.89</v>
      </c>
      <c r="F57" s="77">
        <f t="shared" si="34"/>
        <v>13067.369999999999</v>
      </c>
      <c r="G57" s="77">
        <f t="shared" si="20"/>
        <v>7215.79</v>
      </c>
      <c r="H57" s="77">
        <f t="shared" si="35"/>
        <v>10686.195</v>
      </c>
      <c r="I57" s="77">
        <f t="shared" si="36"/>
        <v>9101.0249999999996</v>
      </c>
      <c r="J57" s="77">
        <f t="shared" si="21"/>
        <v>5957.6750000000002</v>
      </c>
      <c r="K57" s="77">
        <f t="shared" si="37"/>
        <v>12766.125</v>
      </c>
      <c r="L57" s="77">
        <f t="shared" si="22"/>
        <v>6359.375</v>
      </c>
      <c r="M57" s="77">
        <f t="shared" si="38"/>
        <v>10383.24</v>
      </c>
      <c r="N57" s="77">
        <f t="shared" si="39"/>
        <v>8000.57</v>
      </c>
      <c r="O57" s="77">
        <f t="shared" si="23"/>
        <v>5150.8279999999995</v>
      </c>
      <c r="P57" s="77">
        <f t="shared" si="40"/>
        <v>3849.6</v>
      </c>
      <c r="Q57" s="77">
        <f t="shared" si="41"/>
        <v>1776.2599999999998</v>
      </c>
      <c r="R57" s="77">
        <f t="shared" si="42"/>
        <v>12668.0625</v>
      </c>
      <c r="S57" s="77">
        <f t="shared" si="43"/>
        <v>10309.86</v>
      </c>
      <c r="T57" s="77">
        <f t="shared" si="44"/>
        <v>7952.1049999999996</v>
      </c>
      <c r="U57" s="77">
        <f t="shared" si="24"/>
        <v>4818.0349999999999</v>
      </c>
      <c r="V57" s="77">
        <f t="shared" si="45"/>
        <v>12668.0625</v>
      </c>
      <c r="W57" s="77">
        <f t="shared" si="46"/>
        <v>10309.86</v>
      </c>
      <c r="X57" s="77">
        <f t="shared" si="47"/>
        <v>6383.9575000000004</v>
      </c>
      <c r="Y57" s="77">
        <f t="shared" si="48"/>
        <v>7481.68</v>
      </c>
      <c r="Z57" s="77">
        <f t="shared" si="49"/>
        <v>6070.2174999999997</v>
      </c>
      <c r="AA57" s="77">
        <f t="shared" si="50"/>
        <v>3987.9364999999998</v>
      </c>
      <c r="AB57" s="77">
        <f t="shared" si="51"/>
        <v>2775.674</v>
      </c>
      <c r="AC57" s="77">
        <f t="shared" si="52"/>
        <v>11883.5625</v>
      </c>
      <c r="AD57" s="77">
        <f t="shared" si="53"/>
        <v>9722.82</v>
      </c>
      <c r="AE57" s="77">
        <f t="shared" si="54"/>
        <v>7564.3850000000002</v>
      </c>
      <c r="AF57" s="77">
        <f t="shared" si="25"/>
        <v>4688.7950000000001</v>
      </c>
      <c r="AG57" s="77">
        <f t="shared" si="55"/>
        <v>11883.5625</v>
      </c>
      <c r="AH57" s="77">
        <f t="shared" si="56"/>
        <v>9722.82</v>
      </c>
      <c r="AI57" s="77">
        <f t="shared" si="57"/>
        <v>6131.1774999999998</v>
      </c>
      <c r="AJ57" s="77">
        <f t="shared" si="58"/>
        <v>7134.16</v>
      </c>
      <c r="AK57" s="77">
        <f t="shared" si="59"/>
        <v>5844.7975000000006</v>
      </c>
      <c r="AL57" s="77">
        <f t="shared" si="60"/>
        <v>3847.9004999999997</v>
      </c>
      <c r="AM57" s="77">
        <f t="shared" si="61"/>
        <v>2688.9380000000001</v>
      </c>
    </row>
    <row r="58" spans="1:39" x14ac:dyDescent="0.25">
      <c r="A58" s="119" t="s">
        <v>92</v>
      </c>
      <c r="B58" s="80">
        <v>56</v>
      </c>
      <c r="C58" s="180">
        <v>0.93500000000000005</v>
      </c>
      <c r="D58" s="75">
        <v>0.95</v>
      </c>
      <c r="E58" s="75">
        <v>0.91</v>
      </c>
      <c r="F58" s="77">
        <f t="shared" si="34"/>
        <v>12664.327499999999</v>
      </c>
      <c r="G58" s="77">
        <f t="shared" si="20"/>
        <v>7081.4425000000001</v>
      </c>
      <c r="H58" s="77">
        <f t="shared" si="35"/>
        <v>10394.696250000001</v>
      </c>
      <c r="I58" s="77">
        <f t="shared" si="36"/>
        <v>8884.5187499999993</v>
      </c>
      <c r="J58" s="77">
        <f t="shared" si="21"/>
        <v>5885.5062500000004</v>
      </c>
      <c r="K58" s="77">
        <f t="shared" si="37"/>
        <v>12324.84375</v>
      </c>
      <c r="L58" s="77">
        <f t="shared" si="22"/>
        <v>6212.28125</v>
      </c>
      <c r="M58" s="77">
        <f t="shared" si="38"/>
        <v>10053.030000000001</v>
      </c>
      <c r="N58" s="77">
        <f t="shared" si="39"/>
        <v>7782.4775</v>
      </c>
      <c r="O58" s="77">
        <f t="shared" si="23"/>
        <v>5063.5910000000003</v>
      </c>
      <c r="P58" s="77">
        <f t="shared" si="40"/>
        <v>3776.7</v>
      </c>
      <c r="Q58" s="77">
        <f t="shared" si="41"/>
        <v>1745.345</v>
      </c>
      <c r="R58" s="77">
        <f t="shared" si="42"/>
        <v>12471.9375</v>
      </c>
      <c r="S58" s="77">
        <f t="shared" si="43"/>
        <v>10163.099999999999</v>
      </c>
      <c r="T58" s="77">
        <f t="shared" si="44"/>
        <v>7855.1749999999993</v>
      </c>
      <c r="U58" s="77">
        <f t="shared" si="24"/>
        <v>4785.7250000000004</v>
      </c>
      <c r="V58" s="77">
        <f t="shared" si="45"/>
        <v>12471.9375</v>
      </c>
      <c r="W58" s="77">
        <f t="shared" si="46"/>
        <v>10163.099999999999</v>
      </c>
      <c r="X58" s="77">
        <f t="shared" si="47"/>
        <v>6320.7624999999998</v>
      </c>
      <c r="Y58" s="77">
        <f t="shared" si="48"/>
        <v>7394.8</v>
      </c>
      <c r="Z58" s="77">
        <f t="shared" si="49"/>
        <v>6013.8624999999993</v>
      </c>
      <c r="AA58" s="77">
        <f t="shared" si="50"/>
        <v>3952.9274999999998</v>
      </c>
      <c r="AB58" s="77">
        <f t="shared" si="51"/>
        <v>2753.99</v>
      </c>
      <c r="AC58" s="77">
        <f t="shared" si="52"/>
        <v>12079.6875</v>
      </c>
      <c r="AD58" s="77">
        <f t="shared" si="53"/>
        <v>9869.58</v>
      </c>
      <c r="AE58" s="77">
        <f t="shared" si="54"/>
        <v>7661.3150000000005</v>
      </c>
      <c r="AF58" s="77">
        <f t="shared" si="25"/>
        <v>4721.1049999999996</v>
      </c>
      <c r="AG58" s="77">
        <f t="shared" si="55"/>
        <v>12079.6875</v>
      </c>
      <c r="AH58" s="77">
        <f t="shared" si="56"/>
        <v>9869.58</v>
      </c>
      <c r="AI58" s="77">
        <f t="shared" si="57"/>
        <v>6194.3724999999995</v>
      </c>
      <c r="AJ58" s="77">
        <f t="shared" si="58"/>
        <v>7221.04</v>
      </c>
      <c r="AK58" s="77">
        <f t="shared" si="59"/>
        <v>5901.1525000000001</v>
      </c>
      <c r="AL58" s="77">
        <f t="shared" si="60"/>
        <v>3882.9095000000002</v>
      </c>
      <c r="AM58" s="77">
        <f t="shared" si="61"/>
        <v>2710.6220000000003</v>
      </c>
    </row>
    <row r="59" spans="1:39" x14ac:dyDescent="0.25">
      <c r="A59" s="119" t="s">
        <v>116</v>
      </c>
      <c r="B59" s="80">
        <v>57</v>
      </c>
      <c r="C59" s="180">
        <v>0.88500000000000001</v>
      </c>
      <c r="D59" s="75">
        <v>0.96</v>
      </c>
      <c r="E59" s="75">
        <v>0.92</v>
      </c>
      <c r="F59" s="77">
        <f t="shared" si="34"/>
        <v>12216.502500000001</v>
      </c>
      <c r="G59" s="77">
        <f t="shared" si="20"/>
        <v>6932.1674999999996</v>
      </c>
      <c r="H59" s="77">
        <f t="shared" si="35"/>
        <v>10070.80875</v>
      </c>
      <c r="I59" s="77">
        <f t="shared" si="36"/>
        <v>8643.9562499999993</v>
      </c>
      <c r="J59" s="77">
        <f t="shared" si="21"/>
        <v>5805.3187500000004</v>
      </c>
      <c r="K59" s="77">
        <f t="shared" si="37"/>
        <v>11834.53125</v>
      </c>
      <c r="L59" s="77">
        <f t="shared" si="22"/>
        <v>6048.84375</v>
      </c>
      <c r="M59" s="77">
        <f t="shared" si="38"/>
        <v>9686.130000000001</v>
      </c>
      <c r="N59" s="77">
        <f t="shared" si="39"/>
        <v>7540.1525000000001</v>
      </c>
      <c r="O59" s="77">
        <f t="shared" si="23"/>
        <v>4966.6610000000001</v>
      </c>
      <c r="P59" s="77">
        <f t="shared" si="40"/>
        <v>3695.7</v>
      </c>
      <c r="Q59" s="77">
        <f t="shared" si="41"/>
        <v>1710.9949999999999</v>
      </c>
      <c r="R59" s="77">
        <f t="shared" si="42"/>
        <v>12570</v>
      </c>
      <c r="S59" s="77">
        <f t="shared" si="43"/>
        <v>10236.48</v>
      </c>
      <c r="T59" s="77">
        <f t="shared" si="44"/>
        <v>7903.6399999999994</v>
      </c>
      <c r="U59" s="77">
        <f t="shared" si="24"/>
        <v>4801.88</v>
      </c>
      <c r="V59" s="77">
        <f t="shared" si="45"/>
        <v>12570</v>
      </c>
      <c r="W59" s="77">
        <f t="shared" si="46"/>
        <v>10236.48</v>
      </c>
      <c r="X59" s="77">
        <f t="shared" si="47"/>
        <v>6352.36</v>
      </c>
      <c r="Y59" s="77">
        <f t="shared" si="48"/>
        <v>7438.24</v>
      </c>
      <c r="Z59" s="77">
        <f t="shared" si="49"/>
        <v>6042.04</v>
      </c>
      <c r="AA59" s="77">
        <f t="shared" si="50"/>
        <v>3970.4319999999998</v>
      </c>
      <c r="AB59" s="77">
        <f t="shared" si="51"/>
        <v>2764.8320000000003</v>
      </c>
      <c r="AC59" s="77">
        <f t="shared" si="52"/>
        <v>12177.75</v>
      </c>
      <c r="AD59" s="77">
        <f t="shared" si="53"/>
        <v>9942.9600000000009</v>
      </c>
      <c r="AE59" s="77">
        <f t="shared" si="54"/>
        <v>7709.78</v>
      </c>
      <c r="AF59" s="77">
        <f t="shared" si="25"/>
        <v>4737.26</v>
      </c>
      <c r="AG59" s="77">
        <f t="shared" si="55"/>
        <v>12177.75</v>
      </c>
      <c r="AH59" s="77">
        <f t="shared" si="56"/>
        <v>9942.9600000000009</v>
      </c>
      <c r="AI59" s="77">
        <f t="shared" si="57"/>
        <v>6225.97</v>
      </c>
      <c r="AJ59" s="77">
        <f t="shared" si="58"/>
        <v>7264.48</v>
      </c>
      <c r="AK59" s="77">
        <f t="shared" si="59"/>
        <v>5929.33</v>
      </c>
      <c r="AL59" s="77">
        <f t="shared" si="60"/>
        <v>3900.4140000000002</v>
      </c>
      <c r="AM59" s="77">
        <f t="shared" si="61"/>
        <v>2721.4639999999999</v>
      </c>
    </row>
    <row r="60" spans="1:39" x14ac:dyDescent="0.25">
      <c r="A60" s="119" t="s">
        <v>77</v>
      </c>
      <c r="B60" s="80">
        <v>58</v>
      </c>
      <c r="C60" s="180">
        <v>0.94500000000000006</v>
      </c>
      <c r="D60" s="75">
        <v>0.97</v>
      </c>
      <c r="E60" s="75">
        <v>0.92</v>
      </c>
      <c r="F60" s="77">
        <f t="shared" si="34"/>
        <v>12753.8925</v>
      </c>
      <c r="G60" s="77">
        <f t="shared" si="20"/>
        <v>7111.2975000000006</v>
      </c>
      <c r="H60" s="77">
        <f t="shared" si="35"/>
        <v>10459.473750000001</v>
      </c>
      <c r="I60" s="77">
        <f t="shared" si="36"/>
        <v>8932.6312500000004</v>
      </c>
      <c r="J60" s="77">
        <f t="shared" si="21"/>
        <v>5901.5437499999998</v>
      </c>
      <c r="K60" s="77">
        <f t="shared" si="37"/>
        <v>12422.90625</v>
      </c>
      <c r="L60" s="77">
        <f t="shared" si="22"/>
        <v>6244.96875</v>
      </c>
      <c r="M60" s="77">
        <f t="shared" si="38"/>
        <v>10126.41</v>
      </c>
      <c r="N60" s="77">
        <f t="shared" si="39"/>
        <v>7830.9425000000001</v>
      </c>
      <c r="O60" s="77">
        <f t="shared" si="23"/>
        <v>5082.9769999999999</v>
      </c>
      <c r="P60" s="77">
        <f t="shared" si="40"/>
        <v>3792.8999999999996</v>
      </c>
      <c r="Q60" s="77">
        <f t="shared" si="41"/>
        <v>1752.2150000000001</v>
      </c>
      <c r="R60" s="77">
        <f t="shared" si="42"/>
        <v>12668.0625</v>
      </c>
      <c r="S60" s="77">
        <f t="shared" si="43"/>
        <v>10309.86</v>
      </c>
      <c r="T60" s="77">
        <f t="shared" si="44"/>
        <v>7952.1049999999996</v>
      </c>
      <c r="U60" s="77">
        <f t="shared" si="24"/>
        <v>4818.0349999999999</v>
      </c>
      <c r="V60" s="77">
        <f t="shared" si="45"/>
        <v>12668.0625</v>
      </c>
      <c r="W60" s="77">
        <f t="shared" si="46"/>
        <v>10309.86</v>
      </c>
      <c r="X60" s="77">
        <f t="shared" si="47"/>
        <v>6383.9575000000004</v>
      </c>
      <c r="Y60" s="77">
        <f t="shared" si="48"/>
        <v>7481.68</v>
      </c>
      <c r="Z60" s="77">
        <f t="shared" si="49"/>
        <v>6070.2174999999997</v>
      </c>
      <c r="AA60" s="77">
        <f t="shared" si="50"/>
        <v>3987.9364999999998</v>
      </c>
      <c r="AB60" s="77">
        <f t="shared" si="51"/>
        <v>2775.674</v>
      </c>
      <c r="AC60" s="77">
        <f t="shared" si="52"/>
        <v>12177.75</v>
      </c>
      <c r="AD60" s="77">
        <f t="shared" si="53"/>
        <v>9942.9600000000009</v>
      </c>
      <c r="AE60" s="77">
        <f t="shared" si="54"/>
        <v>7709.78</v>
      </c>
      <c r="AF60" s="77">
        <f t="shared" si="25"/>
        <v>4737.26</v>
      </c>
      <c r="AG60" s="77">
        <f t="shared" si="55"/>
        <v>12177.75</v>
      </c>
      <c r="AH60" s="77">
        <f t="shared" si="56"/>
        <v>9942.9600000000009</v>
      </c>
      <c r="AI60" s="77">
        <f t="shared" si="57"/>
        <v>6225.97</v>
      </c>
      <c r="AJ60" s="77">
        <f t="shared" si="58"/>
        <v>7264.48</v>
      </c>
      <c r="AK60" s="77">
        <f t="shared" si="59"/>
        <v>5929.33</v>
      </c>
      <c r="AL60" s="77">
        <f t="shared" si="60"/>
        <v>3900.4140000000002</v>
      </c>
      <c r="AM60" s="77">
        <f t="shared" si="61"/>
        <v>2721.4639999999999</v>
      </c>
    </row>
    <row r="61" spans="1:39" x14ac:dyDescent="0.25">
      <c r="A61" s="119" t="s">
        <v>66</v>
      </c>
      <c r="B61" s="80">
        <v>59</v>
      </c>
      <c r="C61" s="180">
        <v>0.92999999999999994</v>
      </c>
      <c r="D61" s="75">
        <v>0.96</v>
      </c>
      <c r="E61" s="75">
        <v>0.91</v>
      </c>
      <c r="F61" s="77">
        <f t="shared" si="34"/>
        <v>12619.545</v>
      </c>
      <c r="G61" s="77">
        <f t="shared" si="20"/>
        <v>7066.5149999999994</v>
      </c>
      <c r="H61" s="77">
        <f t="shared" si="35"/>
        <v>10362.307499999999</v>
      </c>
      <c r="I61" s="77">
        <f t="shared" si="36"/>
        <v>8860.4624999999996</v>
      </c>
      <c r="J61" s="77">
        <f t="shared" si="21"/>
        <v>5877.4875000000002</v>
      </c>
      <c r="K61" s="77">
        <f t="shared" si="37"/>
        <v>12275.8125</v>
      </c>
      <c r="L61" s="77">
        <f t="shared" si="22"/>
        <v>6195.9375</v>
      </c>
      <c r="M61" s="77">
        <f t="shared" si="38"/>
        <v>10016.34</v>
      </c>
      <c r="N61" s="77">
        <f t="shared" si="39"/>
        <v>7758.2449999999999</v>
      </c>
      <c r="O61" s="77">
        <f t="shared" si="23"/>
        <v>5053.8979999999992</v>
      </c>
      <c r="P61" s="77">
        <f t="shared" si="40"/>
        <v>3768.6</v>
      </c>
      <c r="Q61" s="77">
        <f t="shared" si="41"/>
        <v>1741.9099999999999</v>
      </c>
      <c r="R61" s="77">
        <f t="shared" si="42"/>
        <v>12570</v>
      </c>
      <c r="S61" s="77">
        <f t="shared" si="43"/>
        <v>10236.48</v>
      </c>
      <c r="T61" s="77">
        <f t="shared" si="44"/>
        <v>7903.6399999999994</v>
      </c>
      <c r="U61" s="77">
        <f t="shared" si="24"/>
        <v>4801.88</v>
      </c>
      <c r="V61" s="77">
        <f t="shared" si="45"/>
        <v>12570</v>
      </c>
      <c r="W61" s="77">
        <f t="shared" si="46"/>
        <v>10236.48</v>
      </c>
      <c r="X61" s="77">
        <f t="shared" si="47"/>
        <v>6352.36</v>
      </c>
      <c r="Y61" s="77">
        <f t="shared" si="48"/>
        <v>7438.24</v>
      </c>
      <c r="Z61" s="77">
        <f t="shared" si="49"/>
        <v>6042.04</v>
      </c>
      <c r="AA61" s="77">
        <f t="shared" si="50"/>
        <v>3970.4319999999998</v>
      </c>
      <c r="AB61" s="77">
        <f t="shared" si="51"/>
        <v>2764.8320000000003</v>
      </c>
      <c r="AC61" s="77">
        <f t="shared" si="52"/>
        <v>12079.6875</v>
      </c>
      <c r="AD61" s="77">
        <f t="shared" si="53"/>
        <v>9869.58</v>
      </c>
      <c r="AE61" s="77">
        <f t="shared" si="54"/>
        <v>7661.3150000000005</v>
      </c>
      <c r="AF61" s="77">
        <f t="shared" si="25"/>
        <v>4721.1049999999996</v>
      </c>
      <c r="AG61" s="77">
        <f t="shared" si="55"/>
        <v>12079.6875</v>
      </c>
      <c r="AH61" s="77">
        <f t="shared" si="56"/>
        <v>9869.58</v>
      </c>
      <c r="AI61" s="77">
        <f t="shared" si="57"/>
        <v>6194.3724999999995</v>
      </c>
      <c r="AJ61" s="77">
        <f t="shared" si="58"/>
        <v>7221.04</v>
      </c>
      <c r="AK61" s="77">
        <f t="shared" si="59"/>
        <v>5901.1525000000001</v>
      </c>
      <c r="AL61" s="77">
        <f t="shared" si="60"/>
        <v>3882.9095000000002</v>
      </c>
      <c r="AM61" s="77">
        <f t="shared" si="61"/>
        <v>2710.6220000000003</v>
      </c>
    </row>
    <row r="62" spans="1:39" x14ac:dyDescent="0.25">
      <c r="A62" s="119" t="s">
        <v>67</v>
      </c>
      <c r="B62" s="80">
        <v>60</v>
      </c>
      <c r="C62" s="180">
        <v>0.94</v>
      </c>
      <c r="D62" s="75">
        <v>0.97</v>
      </c>
      <c r="E62" s="75">
        <v>0.93</v>
      </c>
      <c r="F62" s="77">
        <f t="shared" si="34"/>
        <v>12709.11</v>
      </c>
      <c r="G62" s="77">
        <f t="shared" si="20"/>
        <v>7096.37</v>
      </c>
      <c r="H62" s="77">
        <f t="shared" si="35"/>
        <v>10427.084999999999</v>
      </c>
      <c r="I62" s="77">
        <f t="shared" si="36"/>
        <v>8908.5750000000007</v>
      </c>
      <c r="J62" s="77">
        <f t="shared" si="21"/>
        <v>5893.5249999999996</v>
      </c>
      <c r="K62" s="77">
        <f t="shared" si="37"/>
        <v>12373.875</v>
      </c>
      <c r="L62" s="77">
        <f t="shared" si="22"/>
        <v>6228.625</v>
      </c>
      <c r="M62" s="77">
        <f t="shared" si="38"/>
        <v>10089.719999999999</v>
      </c>
      <c r="N62" s="77">
        <f t="shared" si="39"/>
        <v>7806.71</v>
      </c>
      <c r="O62" s="77">
        <f t="shared" si="23"/>
        <v>5073.2839999999997</v>
      </c>
      <c r="P62" s="77">
        <f t="shared" si="40"/>
        <v>3784.8</v>
      </c>
      <c r="Q62" s="77">
        <f t="shared" si="41"/>
        <v>1748.78</v>
      </c>
      <c r="R62" s="77">
        <f t="shared" si="42"/>
        <v>12668.0625</v>
      </c>
      <c r="S62" s="77">
        <f t="shared" si="43"/>
        <v>10309.86</v>
      </c>
      <c r="T62" s="77">
        <f t="shared" si="44"/>
        <v>7952.1049999999996</v>
      </c>
      <c r="U62" s="77">
        <f t="shared" si="24"/>
        <v>4818.0349999999999</v>
      </c>
      <c r="V62" s="77">
        <f t="shared" si="45"/>
        <v>12668.0625</v>
      </c>
      <c r="W62" s="77">
        <f t="shared" si="46"/>
        <v>10309.86</v>
      </c>
      <c r="X62" s="77">
        <f t="shared" si="47"/>
        <v>6383.9575000000004</v>
      </c>
      <c r="Y62" s="77">
        <f t="shared" si="48"/>
        <v>7481.68</v>
      </c>
      <c r="Z62" s="77">
        <f t="shared" si="49"/>
        <v>6070.2174999999997</v>
      </c>
      <c r="AA62" s="77">
        <f t="shared" si="50"/>
        <v>3987.9364999999998</v>
      </c>
      <c r="AB62" s="77">
        <f t="shared" si="51"/>
        <v>2775.674</v>
      </c>
      <c r="AC62" s="77">
        <f t="shared" si="52"/>
        <v>12275.8125</v>
      </c>
      <c r="AD62" s="77">
        <f t="shared" si="53"/>
        <v>10016.34</v>
      </c>
      <c r="AE62" s="77">
        <f t="shared" si="54"/>
        <v>7758.2450000000008</v>
      </c>
      <c r="AF62" s="77">
        <f t="shared" si="25"/>
        <v>4753.415</v>
      </c>
      <c r="AG62" s="77">
        <f t="shared" si="55"/>
        <v>12275.8125</v>
      </c>
      <c r="AH62" s="77">
        <f t="shared" si="56"/>
        <v>10016.34</v>
      </c>
      <c r="AI62" s="77">
        <f t="shared" si="57"/>
        <v>6257.5675000000001</v>
      </c>
      <c r="AJ62" s="77">
        <f t="shared" si="58"/>
        <v>7307.92</v>
      </c>
      <c r="AK62" s="77">
        <f t="shared" si="59"/>
        <v>5957.5074999999997</v>
      </c>
      <c r="AL62" s="77">
        <f t="shared" si="60"/>
        <v>3917.9185000000002</v>
      </c>
      <c r="AM62" s="77">
        <f t="shared" si="61"/>
        <v>2732.306</v>
      </c>
    </row>
    <row r="63" spans="1:39" x14ac:dyDescent="0.25">
      <c r="A63" s="119" t="s">
        <v>57</v>
      </c>
      <c r="B63" s="80">
        <v>61</v>
      </c>
      <c r="C63" s="180">
        <v>0.97499999999999998</v>
      </c>
      <c r="D63" s="75">
        <v>0.96</v>
      </c>
      <c r="E63" s="75">
        <v>0.93</v>
      </c>
      <c r="F63" s="77">
        <f t="shared" si="34"/>
        <v>13022.5875</v>
      </c>
      <c r="G63" s="77">
        <f t="shared" si="20"/>
        <v>7200.8624999999993</v>
      </c>
      <c r="H63" s="77">
        <f t="shared" si="35"/>
        <v>10653.80625</v>
      </c>
      <c r="I63" s="77">
        <f t="shared" si="36"/>
        <v>9076.96875</v>
      </c>
      <c r="J63" s="77">
        <f t="shared" si="21"/>
        <v>5949.65625</v>
      </c>
      <c r="K63" s="77">
        <f t="shared" si="37"/>
        <v>12717.09375</v>
      </c>
      <c r="L63" s="77">
        <f t="shared" si="22"/>
        <v>6343.03125</v>
      </c>
      <c r="M63" s="77">
        <f t="shared" si="38"/>
        <v>10346.549999999999</v>
      </c>
      <c r="N63" s="77">
        <f t="shared" si="39"/>
        <v>7976.3374999999996</v>
      </c>
      <c r="O63" s="77">
        <f t="shared" si="23"/>
        <v>5141.1350000000002</v>
      </c>
      <c r="P63" s="77">
        <f t="shared" si="40"/>
        <v>3841.5</v>
      </c>
      <c r="Q63" s="77">
        <f t="shared" si="41"/>
        <v>1772.8249999999998</v>
      </c>
      <c r="R63" s="77">
        <f t="shared" si="42"/>
        <v>12570</v>
      </c>
      <c r="S63" s="77">
        <f t="shared" si="43"/>
        <v>10236.48</v>
      </c>
      <c r="T63" s="77">
        <f t="shared" si="44"/>
        <v>7903.6399999999994</v>
      </c>
      <c r="U63" s="77">
        <f t="shared" si="24"/>
        <v>4801.88</v>
      </c>
      <c r="V63" s="77">
        <f t="shared" si="45"/>
        <v>12570</v>
      </c>
      <c r="W63" s="77">
        <f t="shared" si="46"/>
        <v>10236.48</v>
      </c>
      <c r="X63" s="77">
        <f t="shared" si="47"/>
        <v>6352.36</v>
      </c>
      <c r="Y63" s="77">
        <f t="shared" si="48"/>
        <v>7438.24</v>
      </c>
      <c r="Z63" s="77">
        <f t="shared" si="49"/>
        <v>6042.04</v>
      </c>
      <c r="AA63" s="77">
        <f t="shared" si="50"/>
        <v>3970.4319999999998</v>
      </c>
      <c r="AB63" s="77">
        <f t="shared" si="51"/>
        <v>2764.8320000000003</v>
      </c>
      <c r="AC63" s="77">
        <f t="shared" si="52"/>
        <v>12275.8125</v>
      </c>
      <c r="AD63" s="77">
        <f t="shared" si="53"/>
        <v>10016.34</v>
      </c>
      <c r="AE63" s="77">
        <f t="shared" si="54"/>
        <v>7758.2450000000008</v>
      </c>
      <c r="AF63" s="77">
        <f t="shared" si="25"/>
        <v>4753.415</v>
      </c>
      <c r="AG63" s="77">
        <f t="shared" si="55"/>
        <v>12275.8125</v>
      </c>
      <c r="AH63" s="77">
        <f t="shared" si="56"/>
        <v>10016.34</v>
      </c>
      <c r="AI63" s="77">
        <f t="shared" si="57"/>
        <v>6257.5675000000001</v>
      </c>
      <c r="AJ63" s="77">
        <f t="shared" si="58"/>
        <v>7307.92</v>
      </c>
      <c r="AK63" s="77">
        <f t="shared" si="59"/>
        <v>5957.5074999999997</v>
      </c>
      <c r="AL63" s="77">
        <f t="shared" si="60"/>
        <v>3917.9185000000002</v>
      </c>
      <c r="AM63" s="77">
        <f t="shared" si="61"/>
        <v>2732.306</v>
      </c>
    </row>
    <row r="64" spans="1:39" x14ac:dyDescent="0.25">
      <c r="A64" s="119" t="s">
        <v>117</v>
      </c>
      <c r="B64" s="80">
        <v>62</v>
      </c>
      <c r="C64" s="180">
        <v>0.88</v>
      </c>
      <c r="D64" s="75">
        <v>0.95</v>
      </c>
      <c r="E64" s="75">
        <v>0.95</v>
      </c>
      <c r="F64" s="77">
        <f t="shared" si="34"/>
        <v>12171.720000000001</v>
      </c>
      <c r="G64" s="77">
        <f t="shared" si="20"/>
        <v>6917.24</v>
      </c>
      <c r="H64" s="77">
        <f t="shared" si="35"/>
        <v>10038.42</v>
      </c>
      <c r="I64" s="77">
        <f t="shared" si="36"/>
        <v>8619.9</v>
      </c>
      <c r="J64" s="77">
        <f t="shared" si="21"/>
        <v>5797.3</v>
      </c>
      <c r="K64" s="77">
        <f t="shared" si="37"/>
        <v>11785.5</v>
      </c>
      <c r="L64" s="77">
        <f t="shared" si="22"/>
        <v>6032.5</v>
      </c>
      <c r="M64" s="77">
        <f t="shared" si="38"/>
        <v>9649.44</v>
      </c>
      <c r="N64" s="77">
        <f t="shared" si="39"/>
        <v>7515.92</v>
      </c>
      <c r="O64" s="77">
        <f t="shared" si="23"/>
        <v>4956.9679999999998</v>
      </c>
      <c r="P64" s="77">
        <f t="shared" si="40"/>
        <v>3687.6</v>
      </c>
      <c r="Q64" s="77">
        <f t="shared" si="41"/>
        <v>1707.56</v>
      </c>
      <c r="R64" s="77">
        <f t="shared" si="42"/>
        <v>12471.9375</v>
      </c>
      <c r="S64" s="77">
        <f t="shared" si="43"/>
        <v>10163.099999999999</v>
      </c>
      <c r="T64" s="77">
        <f t="shared" si="44"/>
        <v>7855.1749999999993</v>
      </c>
      <c r="U64" s="77">
        <f t="shared" si="24"/>
        <v>4785.7250000000004</v>
      </c>
      <c r="V64" s="77">
        <f t="shared" si="45"/>
        <v>12471.9375</v>
      </c>
      <c r="W64" s="77">
        <f t="shared" si="46"/>
        <v>10163.099999999999</v>
      </c>
      <c r="X64" s="77">
        <f t="shared" si="47"/>
        <v>6320.7624999999998</v>
      </c>
      <c r="Y64" s="77">
        <f t="shared" si="48"/>
        <v>7394.8</v>
      </c>
      <c r="Z64" s="77">
        <f t="shared" si="49"/>
        <v>6013.8624999999993</v>
      </c>
      <c r="AA64" s="77">
        <f t="shared" si="50"/>
        <v>3952.9274999999998</v>
      </c>
      <c r="AB64" s="77">
        <f t="shared" si="51"/>
        <v>2753.99</v>
      </c>
      <c r="AC64" s="77">
        <f t="shared" si="52"/>
        <v>12471.9375</v>
      </c>
      <c r="AD64" s="77">
        <f t="shared" si="53"/>
        <v>10163.099999999999</v>
      </c>
      <c r="AE64" s="77">
        <f t="shared" si="54"/>
        <v>7855.1749999999993</v>
      </c>
      <c r="AF64" s="77">
        <f t="shared" si="25"/>
        <v>4785.7250000000004</v>
      </c>
      <c r="AG64" s="77">
        <f t="shared" si="55"/>
        <v>12471.9375</v>
      </c>
      <c r="AH64" s="77">
        <f t="shared" si="56"/>
        <v>10163.099999999999</v>
      </c>
      <c r="AI64" s="77">
        <f t="shared" si="57"/>
        <v>6320.7624999999998</v>
      </c>
      <c r="AJ64" s="77">
        <f t="shared" si="58"/>
        <v>7394.8</v>
      </c>
      <c r="AK64" s="77">
        <f t="shared" si="59"/>
        <v>6013.8624999999993</v>
      </c>
      <c r="AL64" s="77">
        <f t="shared" si="60"/>
        <v>3952.9274999999998</v>
      </c>
      <c r="AM64" s="77">
        <f t="shared" si="61"/>
        <v>2753.99</v>
      </c>
    </row>
    <row r="65" spans="1:39" x14ac:dyDescent="0.25">
      <c r="A65" s="119" t="s">
        <v>41</v>
      </c>
      <c r="B65" s="80">
        <v>63</v>
      </c>
      <c r="C65" s="180">
        <v>0.99</v>
      </c>
      <c r="D65" s="75">
        <v>0.98</v>
      </c>
      <c r="E65" s="75">
        <v>0.91</v>
      </c>
      <c r="F65" s="77">
        <f t="shared" si="34"/>
        <v>13156.934999999999</v>
      </c>
      <c r="G65" s="77">
        <f t="shared" si="20"/>
        <v>7245.6450000000004</v>
      </c>
      <c r="H65" s="77">
        <f t="shared" si="35"/>
        <v>10750.9725</v>
      </c>
      <c r="I65" s="77">
        <f t="shared" si="36"/>
        <v>9149.1375000000007</v>
      </c>
      <c r="J65" s="77">
        <f t="shared" si="21"/>
        <v>5973.7124999999996</v>
      </c>
      <c r="K65" s="77">
        <f t="shared" si="37"/>
        <v>12864.1875</v>
      </c>
      <c r="L65" s="77">
        <f t="shared" si="22"/>
        <v>6392.0625</v>
      </c>
      <c r="M65" s="77">
        <f t="shared" si="38"/>
        <v>10456.619999999999</v>
      </c>
      <c r="N65" s="77">
        <f t="shared" si="39"/>
        <v>8049.0349999999999</v>
      </c>
      <c r="O65" s="77">
        <f t="shared" si="23"/>
        <v>5170.2139999999999</v>
      </c>
      <c r="P65" s="77">
        <f t="shared" si="40"/>
        <v>3865.8</v>
      </c>
      <c r="Q65" s="77">
        <f t="shared" si="41"/>
        <v>1783.13</v>
      </c>
      <c r="R65" s="77">
        <f t="shared" si="42"/>
        <v>12766.125</v>
      </c>
      <c r="S65" s="77">
        <f t="shared" si="43"/>
        <v>10383.24</v>
      </c>
      <c r="T65" s="77">
        <f t="shared" si="44"/>
        <v>8000.57</v>
      </c>
      <c r="U65" s="77">
        <f t="shared" si="24"/>
        <v>4834.1900000000005</v>
      </c>
      <c r="V65" s="77">
        <f t="shared" si="45"/>
        <v>12766.125</v>
      </c>
      <c r="W65" s="77">
        <f t="shared" si="46"/>
        <v>10383.24</v>
      </c>
      <c r="X65" s="77">
        <f t="shared" si="47"/>
        <v>6415.5550000000003</v>
      </c>
      <c r="Y65" s="77">
        <f t="shared" si="48"/>
        <v>7525.12</v>
      </c>
      <c r="Z65" s="77">
        <f t="shared" si="49"/>
        <v>6098.3950000000004</v>
      </c>
      <c r="AA65" s="77">
        <f t="shared" si="50"/>
        <v>4005.4409999999998</v>
      </c>
      <c r="AB65" s="77">
        <f t="shared" si="51"/>
        <v>2786.5160000000001</v>
      </c>
      <c r="AC65" s="77">
        <f t="shared" si="52"/>
        <v>12079.6875</v>
      </c>
      <c r="AD65" s="77">
        <f t="shared" si="53"/>
        <v>9869.58</v>
      </c>
      <c r="AE65" s="77">
        <f t="shared" si="54"/>
        <v>7661.3150000000005</v>
      </c>
      <c r="AF65" s="77">
        <f t="shared" si="25"/>
        <v>4721.1049999999996</v>
      </c>
      <c r="AG65" s="77">
        <f t="shared" si="55"/>
        <v>12079.6875</v>
      </c>
      <c r="AH65" s="77">
        <f t="shared" si="56"/>
        <v>9869.58</v>
      </c>
      <c r="AI65" s="77">
        <f t="shared" si="57"/>
        <v>6194.3724999999995</v>
      </c>
      <c r="AJ65" s="77">
        <f t="shared" si="58"/>
        <v>7221.04</v>
      </c>
      <c r="AK65" s="77">
        <f t="shared" si="59"/>
        <v>5901.1525000000001</v>
      </c>
      <c r="AL65" s="77">
        <f t="shared" si="60"/>
        <v>3882.9095000000002</v>
      </c>
      <c r="AM65" s="77">
        <f t="shared" si="61"/>
        <v>2710.6220000000003</v>
      </c>
    </row>
    <row r="66" spans="1:39" x14ac:dyDescent="0.25">
      <c r="A66" s="119" t="s">
        <v>93</v>
      </c>
      <c r="B66" s="80">
        <v>64</v>
      </c>
      <c r="C66" s="180">
        <v>0.91999999999999993</v>
      </c>
      <c r="D66" s="75">
        <v>0.97</v>
      </c>
      <c r="E66" s="75">
        <v>0.93</v>
      </c>
      <c r="F66" s="77">
        <f t="shared" si="34"/>
        <v>12529.98</v>
      </c>
      <c r="G66" s="77">
        <f t="shared" si="20"/>
        <v>7036.66</v>
      </c>
      <c r="H66" s="77">
        <f t="shared" si="35"/>
        <v>10297.529999999999</v>
      </c>
      <c r="I66" s="77">
        <f t="shared" si="36"/>
        <v>8812.3499999999985</v>
      </c>
      <c r="J66" s="77">
        <f t="shared" si="21"/>
        <v>5861.45</v>
      </c>
      <c r="K66" s="77">
        <f t="shared" si="37"/>
        <v>12177.749999999998</v>
      </c>
      <c r="L66" s="77">
        <f t="shared" si="22"/>
        <v>6163.25</v>
      </c>
      <c r="M66" s="77">
        <f t="shared" si="38"/>
        <v>9942.9599999999991</v>
      </c>
      <c r="N66" s="77">
        <f t="shared" si="39"/>
        <v>7709.78</v>
      </c>
      <c r="O66" s="77">
        <f t="shared" si="23"/>
        <v>5034.5119999999997</v>
      </c>
      <c r="P66" s="77">
        <f t="shared" si="40"/>
        <v>3752.3999999999996</v>
      </c>
      <c r="Q66" s="77">
        <f t="shared" si="41"/>
        <v>1735.04</v>
      </c>
      <c r="R66" s="77">
        <f t="shared" si="42"/>
        <v>12668.0625</v>
      </c>
      <c r="S66" s="77">
        <f t="shared" si="43"/>
        <v>10309.86</v>
      </c>
      <c r="T66" s="77">
        <f t="shared" si="44"/>
        <v>7952.1049999999996</v>
      </c>
      <c r="U66" s="77">
        <f t="shared" si="24"/>
        <v>4818.0349999999999</v>
      </c>
      <c r="V66" s="77">
        <f t="shared" si="45"/>
        <v>12668.0625</v>
      </c>
      <c r="W66" s="77">
        <f t="shared" si="46"/>
        <v>10309.86</v>
      </c>
      <c r="X66" s="77">
        <f t="shared" si="47"/>
        <v>6383.9575000000004</v>
      </c>
      <c r="Y66" s="77">
        <f t="shared" si="48"/>
        <v>7481.68</v>
      </c>
      <c r="Z66" s="77">
        <f t="shared" si="49"/>
        <v>6070.2174999999997</v>
      </c>
      <c r="AA66" s="77">
        <f t="shared" si="50"/>
        <v>3987.9364999999998</v>
      </c>
      <c r="AB66" s="77">
        <f t="shared" si="51"/>
        <v>2775.674</v>
      </c>
      <c r="AC66" s="77">
        <f t="shared" si="52"/>
        <v>12275.8125</v>
      </c>
      <c r="AD66" s="77">
        <f t="shared" si="53"/>
        <v>10016.34</v>
      </c>
      <c r="AE66" s="77">
        <f t="shared" si="54"/>
        <v>7758.2450000000008</v>
      </c>
      <c r="AF66" s="77">
        <f t="shared" si="25"/>
        <v>4753.415</v>
      </c>
      <c r="AG66" s="77">
        <f t="shared" si="55"/>
        <v>12275.8125</v>
      </c>
      <c r="AH66" s="77">
        <f t="shared" si="56"/>
        <v>10016.34</v>
      </c>
      <c r="AI66" s="77">
        <f t="shared" si="57"/>
        <v>6257.5675000000001</v>
      </c>
      <c r="AJ66" s="77">
        <f t="shared" si="58"/>
        <v>7307.92</v>
      </c>
      <c r="AK66" s="77">
        <f t="shared" si="59"/>
        <v>5957.5074999999997</v>
      </c>
      <c r="AL66" s="77">
        <f t="shared" si="60"/>
        <v>3917.9185000000002</v>
      </c>
      <c r="AM66" s="77">
        <f t="shared" si="61"/>
        <v>2732.306</v>
      </c>
    </row>
    <row r="67" spans="1:39" x14ac:dyDescent="0.25">
      <c r="A67" s="119" t="s">
        <v>42</v>
      </c>
      <c r="B67" s="80">
        <v>65</v>
      </c>
      <c r="C67" s="180">
        <v>1</v>
      </c>
      <c r="D67" s="75">
        <v>0.97</v>
      </c>
      <c r="E67" s="75">
        <v>0.92</v>
      </c>
      <c r="F67" s="77">
        <f t="shared" ref="F67:F83" si="62">4290+11942*C67*$F$2</f>
        <v>13246.5</v>
      </c>
      <c r="G67" s="77">
        <f t="shared" si="20"/>
        <v>7275.5</v>
      </c>
      <c r="H67" s="77">
        <f t="shared" ref="H67:H83" si="63">4338+8637*$H$2*C67</f>
        <v>10815.75</v>
      </c>
      <c r="I67" s="77">
        <f t="shared" ref="I67:I83" si="64">4386+6415*$I$2*C67</f>
        <v>9197.25</v>
      </c>
      <c r="J67" s="77">
        <f t="shared" si="21"/>
        <v>5989.75</v>
      </c>
      <c r="K67" s="77">
        <f t="shared" ref="K67:K83" si="65">3156+13075*C67*$K$2</f>
        <v>12962.25</v>
      </c>
      <c r="L67" s="77">
        <f t="shared" si="22"/>
        <v>6424.75</v>
      </c>
      <c r="M67" s="77">
        <f t="shared" ref="M67:M83" si="66">3192+9784*C67*$M$2</f>
        <v>10530</v>
      </c>
      <c r="N67" s="77">
        <f t="shared" ref="N67:N83" si="67">3251+6462*$N$2*C67</f>
        <v>8097.5</v>
      </c>
      <c r="O67" s="77">
        <f t="shared" si="23"/>
        <v>5189.6000000000004</v>
      </c>
      <c r="P67" s="77">
        <f t="shared" ref="P67:P83" si="68">2262+2700*C67*$P$2</f>
        <v>3882</v>
      </c>
      <c r="Q67" s="77">
        <f t="shared" ref="Q67:Q83" si="69">1103+1145*C67*$Q$2</f>
        <v>1790</v>
      </c>
      <c r="R67" s="77">
        <f t="shared" ref="R67:R83" si="70">3156+13075*D67*$R$2</f>
        <v>12668.0625</v>
      </c>
      <c r="S67" s="77">
        <f t="shared" ref="S67:S83" si="71">3192+9784*D67*$S$2</f>
        <v>10309.86</v>
      </c>
      <c r="T67" s="77">
        <f t="shared" ref="T67:T83" si="72">3251+6462*D67*$T$2</f>
        <v>7952.1049999999996</v>
      </c>
      <c r="U67" s="77">
        <f t="shared" si="24"/>
        <v>4818.0349999999999</v>
      </c>
      <c r="V67" s="77">
        <f t="shared" ref="V67:V83" si="73">3156+13075*D67*$V$2</f>
        <v>12668.0625</v>
      </c>
      <c r="W67" s="77">
        <f t="shared" ref="W67:W83" si="74">3192+9784*D67*$W$2</f>
        <v>10309.86</v>
      </c>
      <c r="X67" s="77">
        <f t="shared" ref="X67:X83" si="75">3319+4213*$X$2*D67</f>
        <v>6383.9575000000004</v>
      </c>
      <c r="Y67" s="77">
        <f t="shared" ref="Y67:Y83" si="76">3268+5792*$Y$2*D67</f>
        <v>7481.68</v>
      </c>
      <c r="Z67" s="77">
        <f t="shared" ref="Z67:Z83" si="77">3337+3757*$Z$2*D67</f>
        <v>6070.2174999999997</v>
      </c>
      <c r="AA67" s="77">
        <f t="shared" ref="AA67:AA83" si="78">2290+2693*$AA$2*D67</f>
        <v>3987.9364999999998</v>
      </c>
      <c r="AB67" s="77">
        <f t="shared" ref="AB67:AB83" si="79">1724+1668*$AB$2*D67</f>
        <v>2775.674</v>
      </c>
      <c r="AC67" s="77">
        <f t="shared" ref="AC67:AC83" si="80">3156+13075*E67*$R$2</f>
        <v>12177.75</v>
      </c>
      <c r="AD67" s="77">
        <f t="shared" ref="AD67:AD83" si="81">3192+9784*E67*$S$2</f>
        <v>9942.9600000000009</v>
      </c>
      <c r="AE67" s="77">
        <f t="shared" ref="AE67:AE83" si="82">3251+6462*E67*$T$2</f>
        <v>7709.78</v>
      </c>
      <c r="AF67" s="77">
        <f t="shared" si="25"/>
        <v>4737.26</v>
      </c>
      <c r="AG67" s="77">
        <f t="shared" ref="AG67:AG83" si="83">3156+13075*E67*$V$2</f>
        <v>12177.75</v>
      </c>
      <c r="AH67" s="77">
        <f t="shared" ref="AH67:AH83" si="84">3192+9784*E67*$W$2</f>
        <v>9942.9600000000009</v>
      </c>
      <c r="AI67" s="77">
        <f t="shared" ref="AI67:AI83" si="85">3319+4213*$X$2*E67</f>
        <v>6225.97</v>
      </c>
      <c r="AJ67" s="77">
        <f t="shared" ref="AJ67:AJ83" si="86">3268+5792*$Y$2*E67</f>
        <v>7264.48</v>
      </c>
      <c r="AK67" s="77">
        <f t="shared" ref="AK67:AK83" si="87">3337+3757*$Z$2*E67</f>
        <v>5929.33</v>
      </c>
      <c r="AL67" s="77">
        <f t="shared" ref="AL67:AL83" si="88">2290+2693*$AA$2*E67</f>
        <v>3900.4140000000002</v>
      </c>
      <c r="AM67" s="77">
        <f t="shared" ref="AM67:AM83" si="89">1724+1668*$AB$2*E67</f>
        <v>2721.4639999999999</v>
      </c>
    </row>
    <row r="68" spans="1:39" x14ac:dyDescent="0.25">
      <c r="A68" s="119" t="s">
        <v>85</v>
      </c>
      <c r="B68" s="80">
        <v>66</v>
      </c>
      <c r="C68" s="180">
        <v>0.92500000000000004</v>
      </c>
      <c r="D68" s="75">
        <v>0.97</v>
      </c>
      <c r="E68" s="75">
        <v>0.9</v>
      </c>
      <c r="F68" s="77">
        <f t="shared" si="62"/>
        <v>12574.762500000001</v>
      </c>
      <c r="G68" s="77">
        <f t="shared" ref="G68:G83" si="90">4290+11942*$G$2*C68</f>
        <v>7051.5874999999996</v>
      </c>
      <c r="H68" s="77">
        <f t="shared" si="63"/>
        <v>10329.918750000001</v>
      </c>
      <c r="I68" s="77">
        <f t="shared" si="64"/>
        <v>8836.40625</v>
      </c>
      <c r="J68" s="77">
        <f t="shared" ref="J68:J83" si="91">4386+6415*$J$2*C68</f>
        <v>5869.46875</v>
      </c>
      <c r="K68" s="77">
        <f t="shared" si="65"/>
        <v>12226.78125</v>
      </c>
      <c r="L68" s="77">
        <f t="shared" ref="L68:L83" si="92">3156+13075*$L$2*C68</f>
        <v>6179.59375</v>
      </c>
      <c r="M68" s="77">
        <f t="shared" si="66"/>
        <v>9979.6500000000015</v>
      </c>
      <c r="N68" s="77">
        <f t="shared" si="67"/>
        <v>7734.0124999999998</v>
      </c>
      <c r="O68" s="77">
        <f t="shared" ref="O68:O83" si="93">3251+6462*$O$2*C68</f>
        <v>5044.2049999999999</v>
      </c>
      <c r="P68" s="77">
        <f t="shared" si="68"/>
        <v>3760.5</v>
      </c>
      <c r="Q68" s="77">
        <f t="shared" si="69"/>
        <v>1738.4749999999999</v>
      </c>
      <c r="R68" s="77">
        <f t="shared" si="70"/>
        <v>12668.0625</v>
      </c>
      <c r="S68" s="77">
        <f t="shared" si="71"/>
        <v>10309.86</v>
      </c>
      <c r="T68" s="77">
        <f t="shared" si="72"/>
        <v>7952.1049999999996</v>
      </c>
      <c r="U68" s="77">
        <f t="shared" ref="U68:U83" si="94">3251+6462*$U$2*D68</f>
        <v>4818.0349999999999</v>
      </c>
      <c r="V68" s="77">
        <f t="shared" si="73"/>
        <v>12668.0625</v>
      </c>
      <c r="W68" s="77">
        <f t="shared" si="74"/>
        <v>10309.86</v>
      </c>
      <c r="X68" s="77">
        <f t="shared" si="75"/>
        <v>6383.9575000000004</v>
      </c>
      <c r="Y68" s="77">
        <f t="shared" si="76"/>
        <v>7481.68</v>
      </c>
      <c r="Z68" s="77">
        <f t="shared" si="77"/>
        <v>6070.2174999999997</v>
      </c>
      <c r="AA68" s="77">
        <f t="shared" si="78"/>
        <v>3987.9364999999998</v>
      </c>
      <c r="AB68" s="77">
        <f t="shared" si="79"/>
        <v>2775.674</v>
      </c>
      <c r="AC68" s="77">
        <f t="shared" si="80"/>
        <v>11981.625</v>
      </c>
      <c r="AD68" s="77">
        <f t="shared" si="81"/>
        <v>9796.2000000000007</v>
      </c>
      <c r="AE68" s="77">
        <f t="shared" si="82"/>
        <v>7612.85</v>
      </c>
      <c r="AF68" s="77">
        <f t="shared" ref="AF68:AF83" si="95">3251+6462*$AF$2*E68</f>
        <v>4704.95</v>
      </c>
      <c r="AG68" s="77">
        <f t="shared" si="83"/>
        <v>11981.625</v>
      </c>
      <c r="AH68" s="77">
        <f t="shared" si="84"/>
        <v>9796.2000000000007</v>
      </c>
      <c r="AI68" s="77">
        <f t="shared" si="85"/>
        <v>6162.7749999999996</v>
      </c>
      <c r="AJ68" s="77">
        <f t="shared" si="86"/>
        <v>7177.6</v>
      </c>
      <c r="AK68" s="77">
        <f t="shared" si="87"/>
        <v>5872.9750000000004</v>
      </c>
      <c r="AL68" s="77">
        <f t="shared" si="88"/>
        <v>3865.4049999999997</v>
      </c>
      <c r="AM68" s="77">
        <f t="shared" si="89"/>
        <v>2699.78</v>
      </c>
    </row>
    <row r="69" spans="1:39" x14ac:dyDescent="0.25">
      <c r="A69" s="119" t="s">
        <v>79</v>
      </c>
      <c r="B69" s="80">
        <v>67</v>
      </c>
      <c r="C69" s="180">
        <v>0.92500000000000004</v>
      </c>
      <c r="D69" s="75">
        <v>0.97</v>
      </c>
      <c r="E69" s="75">
        <v>0.9</v>
      </c>
      <c r="F69" s="77">
        <f t="shared" si="62"/>
        <v>12574.762500000001</v>
      </c>
      <c r="G69" s="77">
        <f t="shared" si="90"/>
        <v>7051.5874999999996</v>
      </c>
      <c r="H69" s="77">
        <f t="shared" si="63"/>
        <v>10329.918750000001</v>
      </c>
      <c r="I69" s="77">
        <f t="shared" si="64"/>
        <v>8836.40625</v>
      </c>
      <c r="J69" s="77">
        <f t="shared" si="91"/>
        <v>5869.46875</v>
      </c>
      <c r="K69" s="77">
        <f t="shared" si="65"/>
        <v>12226.78125</v>
      </c>
      <c r="L69" s="77">
        <f t="shared" si="92"/>
        <v>6179.59375</v>
      </c>
      <c r="M69" s="77">
        <f t="shared" si="66"/>
        <v>9979.6500000000015</v>
      </c>
      <c r="N69" s="77">
        <f t="shared" si="67"/>
        <v>7734.0124999999998</v>
      </c>
      <c r="O69" s="77">
        <f t="shared" si="93"/>
        <v>5044.2049999999999</v>
      </c>
      <c r="P69" s="77">
        <f t="shared" si="68"/>
        <v>3760.5</v>
      </c>
      <c r="Q69" s="77">
        <f t="shared" si="69"/>
        <v>1738.4749999999999</v>
      </c>
      <c r="R69" s="77">
        <f t="shared" si="70"/>
        <v>12668.0625</v>
      </c>
      <c r="S69" s="77">
        <f t="shared" si="71"/>
        <v>10309.86</v>
      </c>
      <c r="T69" s="77">
        <f t="shared" si="72"/>
        <v>7952.1049999999996</v>
      </c>
      <c r="U69" s="77">
        <f t="shared" si="94"/>
        <v>4818.0349999999999</v>
      </c>
      <c r="V69" s="77">
        <f t="shared" si="73"/>
        <v>12668.0625</v>
      </c>
      <c r="W69" s="77">
        <f t="shared" si="74"/>
        <v>10309.86</v>
      </c>
      <c r="X69" s="77">
        <f t="shared" si="75"/>
        <v>6383.9575000000004</v>
      </c>
      <c r="Y69" s="77">
        <f t="shared" si="76"/>
        <v>7481.68</v>
      </c>
      <c r="Z69" s="77">
        <f t="shared" si="77"/>
        <v>6070.2174999999997</v>
      </c>
      <c r="AA69" s="77">
        <f t="shared" si="78"/>
        <v>3987.9364999999998</v>
      </c>
      <c r="AB69" s="77">
        <f t="shared" si="79"/>
        <v>2775.674</v>
      </c>
      <c r="AC69" s="77">
        <f t="shared" si="80"/>
        <v>11981.625</v>
      </c>
      <c r="AD69" s="77">
        <f t="shared" si="81"/>
        <v>9796.2000000000007</v>
      </c>
      <c r="AE69" s="77">
        <f t="shared" si="82"/>
        <v>7612.85</v>
      </c>
      <c r="AF69" s="77">
        <f t="shared" si="95"/>
        <v>4704.95</v>
      </c>
      <c r="AG69" s="77">
        <f t="shared" si="83"/>
        <v>11981.625</v>
      </c>
      <c r="AH69" s="77">
        <f t="shared" si="84"/>
        <v>9796.2000000000007</v>
      </c>
      <c r="AI69" s="77">
        <f t="shared" si="85"/>
        <v>6162.7749999999996</v>
      </c>
      <c r="AJ69" s="77">
        <f t="shared" si="86"/>
        <v>7177.6</v>
      </c>
      <c r="AK69" s="77">
        <f t="shared" si="87"/>
        <v>5872.9750000000004</v>
      </c>
      <c r="AL69" s="77">
        <f t="shared" si="88"/>
        <v>3865.4049999999997</v>
      </c>
      <c r="AM69" s="77">
        <f t="shared" si="89"/>
        <v>2699.78</v>
      </c>
    </row>
    <row r="70" spans="1:39" x14ac:dyDescent="0.25">
      <c r="A70" s="119" t="s">
        <v>94</v>
      </c>
      <c r="B70" s="80">
        <v>68</v>
      </c>
      <c r="C70" s="180">
        <v>0.92500000000000004</v>
      </c>
      <c r="D70" s="75">
        <v>0.97</v>
      </c>
      <c r="E70" s="75">
        <v>0.9</v>
      </c>
      <c r="F70" s="77">
        <f t="shared" si="62"/>
        <v>12574.762500000001</v>
      </c>
      <c r="G70" s="77">
        <f t="shared" si="90"/>
        <v>7051.5874999999996</v>
      </c>
      <c r="H70" s="77">
        <f t="shared" si="63"/>
        <v>10329.918750000001</v>
      </c>
      <c r="I70" s="77">
        <f t="shared" si="64"/>
        <v>8836.40625</v>
      </c>
      <c r="J70" s="77">
        <f t="shared" si="91"/>
        <v>5869.46875</v>
      </c>
      <c r="K70" s="77">
        <f t="shared" si="65"/>
        <v>12226.78125</v>
      </c>
      <c r="L70" s="77">
        <f t="shared" si="92"/>
        <v>6179.59375</v>
      </c>
      <c r="M70" s="77">
        <f t="shared" si="66"/>
        <v>9979.6500000000015</v>
      </c>
      <c r="N70" s="77">
        <f t="shared" si="67"/>
        <v>7734.0124999999998</v>
      </c>
      <c r="O70" s="77">
        <f t="shared" si="93"/>
        <v>5044.2049999999999</v>
      </c>
      <c r="P70" s="77">
        <f t="shared" si="68"/>
        <v>3760.5</v>
      </c>
      <c r="Q70" s="77">
        <f t="shared" si="69"/>
        <v>1738.4749999999999</v>
      </c>
      <c r="R70" s="77">
        <f t="shared" si="70"/>
        <v>12668.0625</v>
      </c>
      <c r="S70" s="77">
        <f t="shared" si="71"/>
        <v>10309.86</v>
      </c>
      <c r="T70" s="77">
        <f t="shared" si="72"/>
        <v>7952.1049999999996</v>
      </c>
      <c r="U70" s="77">
        <f t="shared" si="94"/>
        <v>4818.0349999999999</v>
      </c>
      <c r="V70" s="77">
        <f t="shared" si="73"/>
        <v>12668.0625</v>
      </c>
      <c r="W70" s="77">
        <f t="shared" si="74"/>
        <v>10309.86</v>
      </c>
      <c r="X70" s="77">
        <f t="shared" si="75"/>
        <v>6383.9575000000004</v>
      </c>
      <c r="Y70" s="77">
        <f t="shared" si="76"/>
        <v>7481.68</v>
      </c>
      <c r="Z70" s="77">
        <f t="shared" si="77"/>
        <v>6070.2174999999997</v>
      </c>
      <c r="AA70" s="77">
        <f t="shared" si="78"/>
        <v>3987.9364999999998</v>
      </c>
      <c r="AB70" s="77">
        <f t="shared" si="79"/>
        <v>2775.674</v>
      </c>
      <c r="AC70" s="77">
        <f t="shared" si="80"/>
        <v>11981.625</v>
      </c>
      <c r="AD70" s="77">
        <f t="shared" si="81"/>
        <v>9796.2000000000007</v>
      </c>
      <c r="AE70" s="77">
        <f t="shared" si="82"/>
        <v>7612.85</v>
      </c>
      <c r="AF70" s="77">
        <f t="shared" si="95"/>
        <v>4704.95</v>
      </c>
      <c r="AG70" s="77">
        <f t="shared" si="83"/>
        <v>11981.625</v>
      </c>
      <c r="AH70" s="77">
        <f t="shared" si="84"/>
        <v>9796.2000000000007</v>
      </c>
      <c r="AI70" s="77">
        <f t="shared" si="85"/>
        <v>6162.7749999999996</v>
      </c>
      <c r="AJ70" s="77">
        <f t="shared" si="86"/>
        <v>7177.6</v>
      </c>
      <c r="AK70" s="77">
        <f t="shared" si="87"/>
        <v>5872.9750000000004</v>
      </c>
      <c r="AL70" s="77">
        <f t="shared" si="88"/>
        <v>3865.4049999999997</v>
      </c>
      <c r="AM70" s="77">
        <f t="shared" si="89"/>
        <v>2699.78</v>
      </c>
    </row>
    <row r="71" spans="1:39" x14ac:dyDescent="0.25">
      <c r="A71" s="119" t="s">
        <v>109</v>
      </c>
      <c r="B71" s="80">
        <v>69</v>
      </c>
      <c r="C71" s="180">
        <v>0.88</v>
      </c>
      <c r="D71" s="75">
        <v>0.97</v>
      </c>
      <c r="E71" s="75">
        <v>0.97</v>
      </c>
      <c r="F71" s="77">
        <f t="shared" si="62"/>
        <v>12171.720000000001</v>
      </c>
      <c r="G71" s="77">
        <f t="shared" si="90"/>
        <v>6917.24</v>
      </c>
      <c r="H71" s="77">
        <f t="shared" si="63"/>
        <v>10038.42</v>
      </c>
      <c r="I71" s="77">
        <f t="shared" si="64"/>
        <v>8619.9</v>
      </c>
      <c r="J71" s="77">
        <f t="shared" si="91"/>
        <v>5797.3</v>
      </c>
      <c r="K71" s="77">
        <f t="shared" si="65"/>
        <v>11785.5</v>
      </c>
      <c r="L71" s="77">
        <f t="shared" si="92"/>
        <v>6032.5</v>
      </c>
      <c r="M71" s="77">
        <f t="shared" si="66"/>
        <v>9649.44</v>
      </c>
      <c r="N71" s="77">
        <f t="shared" si="67"/>
        <v>7515.92</v>
      </c>
      <c r="O71" s="77">
        <f t="shared" si="93"/>
        <v>4956.9679999999998</v>
      </c>
      <c r="P71" s="77">
        <f t="shared" si="68"/>
        <v>3687.6</v>
      </c>
      <c r="Q71" s="77">
        <f t="shared" si="69"/>
        <v>1707.56</v>
      </c>
      <c r="R71" s="77">
        <f t="shared" si="70"/>
        <v>12668.0625</v>
      </c>
      <c r="S71" s="77">
        <f t="shared" si="71"/>
        <v>10309.86</v>
      </c>
      <c r="T71" s="77">
        <f t="shared" si="72"/>
        <v>7952.1049999999996</v>
      </c>
      <c r="U71" s="77">
        <f t="shared" si="94"/>
        <v>4818.0349999999999</v>
      </c>
      <c r="V71" s="77">
        <f t="shared" si="73"/>
        <v>12668.0625</v>
      </c>
      <c r="W71" s="77">
        <f t="shared" si="74"/>
        <v>10309.86</v>
      </c>
      <c r="X71" s="77">
        <f t="shared" si="75"/>
        <v>6383.9575000000004</v>
      </c>
      <c r="Y71" s="77">
        <f t="shared" si="76"/>
        <v>7481.68</v>
      </c>
      <c r="Z71" s="77">
        <f t="shared" si="77"/>
        <v>6070.2174999999997</v>
      </c>
      <c r="AA71" s="77">
        <f t="shared" si="78"/>
        <v>3987.9364999999998</v>
      </c>
      <c r="AB71" s="77">
        <f t="shared" si="79"/>
        <v>2775.674</v>
      </c>
      <c r="AC71" s="77">
        <f t="shared" si="80"/>
        <v>12668.0625</v>
      </c>
      <c r="AD71" s="77">
        <f t="shared" si="81"/>
        <v>10309.86</v>
      </c>
      <c r="AE71" s="77">
        <f t="shared" si="82"/>
        <v>7952.1049999999996</v>
      </c>
      <c r="AF71" s="77">
        <f t="shared" si="95"/>
        <v>4818.0349999999999</v>
      </c>
      <c r="AG71" s="77">
        <f t="shared" si="83"/>
        <v>12668.0625</v>
      </c>
      <c r="AH71" s="77">
        <f t="shared" si="84"/>
        <v>10309.86</v>
      </c>
      <c r="AI71" s="77">
        <f t="shared" si="85"/>
        <v>6383.9575000000004</v>
      </c>
      <c r="AJ71" s="77">
        <f t="shared" si="86"/>
        <v>7481.68</v>
      </c>
      <c r="AK71" s="77">
        <f t="shared" si="87"/>
        <v>6070.2174999999997</v>
      </c>
      <c r="AL71" s="77">
        <f t="shared" si="88"/>
        <v>3987.9364999999998</v>
      </c>
      <c r="AM71" s="77">
        <f t="shared" si="89"/>
        <v>2775.674</v>
      </c>
    </row>
    <row r="72" spans="1:39" x14ac:dyDescent="0.25">
      <c r="A72" s="119" t="s">
        <v>104</v>
      </c>
      <c r="B72" s="80">
        <v>70</v>
      </c>
      <c r="C72" s="180">
        <v>0.89999999999999991</v>
      </c>
      <c r="D72" s="75">
        <v>0.97</v>
      </c>
      <c r="E72" s="75">
        <v>0.95</v>
      </c>
      <c r="F72" s="77">
        <f t="shared" si="62"/>
        <v>12350.849999999999</v>
      </c>
      <c r="G72" s="77">
        <f t="shared" si="90"/>
        <v>6976.95</v>
      </c>
      <c r="H72" s="77">
        <f t="shared" si="63"/>
        <v>10167.974999999999</v>
      </c>
      <c r="I72" s="77">
        <f t="shared" si="64"/>
        <v>8716.125</v>
      </c>
      <c r="J72" s="77">
        <f t="shared" si="91"/>
        <v>5829.375</v>
      </c>
      <c r="K72" s="77">
        <f t="shared" si="65"/>
        <v>11981.624999999998</v>
      </c>
      <c r="L72" s="77">
        <f t="shared" si="92"/>
        <v>6097.875</v>
      </c>
      <c r="M72" s="77">
        <f t="shared" si="66"/>
        <v>9796.1999999999989</v>
      </c>
      <c r="N72" s="77">
        <f t="shared" si="67"/>
        <v>7612.8499999999995</v>
      </c>
      <c r="O72" s="77">
        <f t="shared" si="93"/>
        <v>4995.74</v>
      </c>
      <c r="P72" s="77">
        <f t="shared" si="68"/>
        <v>3720</v>
      </c>
      <c r="Q72" s="77">
        <f t="shared" si="69"/>
        <v>1721.3</v>
      </c>
      <c r="R72" s="77">
        <f t="shared" si="70"/>
        <v>12668.0625</v>
      </c>
      <c r="S72" s="77">
        <f t="shared" si="71"/>
        <v>10309.86</v>
      </c>
      <c r="T72" s="77">
        <f t="shared" si="72"/>
        <v>7952.1049999999996</v>
      </c>
      <c r="U72" s="77">
        <f t="shared" si="94"/>
        <v>4818.0349999999999</v>
      </c>
      <c r="V72" s="77">
        <f t="shared" si="73"/>
        <v>12668.0625</v>
      </c>
      <c r="W72" s="77">
        <f t="shared" si="74"/>
        <v>10309.86</v>
      </c>
      <c r="X72" s="77">
        <f t="shared" si="75"/>
        <v>6383.9575000000004</v>
      </c>
      <c r="Y72" s="77">
        <f t="shared" si="76"/>
        <v>7481.68</v>
      </c>
      <c r="Z72" s="77">
        <f t="shared" si="77"/>
        <v>6070.2174999999997</v>
      </c>
      <c r="AA72" s="77">
        <f t="shared" si="78"/>
        <v>3987.9364999999998</v>
      </c>
      <c r="AB72" s="77">
        <f t="shared" si="79"/>
        <v>2775.674</v>
      </c>
      <c r="AC72" s="77">
        <f t="shared" si="80"/>
        <v>12471.9375</v>
      </c>
      <c r="AD72" s="77">
        <f t="shared" si="81"/>
        <v>10163.099999999999</v>
      </c>
      <c r="AE72" s="77">
        <f t="shared" si="82"/>
        <v>7855.1749999999993</v>
      </c>
      <c r="AF72" s="77">
        <f t="shared" si="95"/>
        <v>4785.7250000000004</v>
      </c>
      <c r="AG72" s="77">
        <f t="shared" si="83"/>
        <v>12471.9375</v>
      </c>
      <c r="AH72" s="77">
        <f t="shared" si="84"/>
        <v>10163.099999999999</v>
      </c>
      <c r="AI72" s="77">
        <f t="shared" si="85"/>
        <v>6320.7624999999998</v>
      </c>
      <c r="AJ72" s="77">
        <f t="shared" si="86"/>
        <v>7394.8</v>
      </c>
      <c r="AK72" s="77">
        <f t="shared" si="87"/>
        <v>6013.8624999999993</v>
      </c>
      <c r="AL72" s="77">
        <f t="shared" si="88"/>
        <v>3952.9274999999998</v>
      </c>
      <c r="AM72" s="77">
        <f t="shared" si="89"/>
        <v>2753.99</v>
      </c>
    </row>
    <row r="73" spans="1:39" x14ac:dyDescent="0.25">
      <c r="A73" s="119" t="s">
        <v>88</v>
      </c>
      <c r="B73" s="80">
        <v>71</v>
      </c>
      <c r="C73" s="180">
        <v>0.91500000000000004</v>
      </c>
      <c r="D73" s="75">
        <v>0.96</v>
      </c>
      <c r="E73" s="75">
        <v>0.96</v>
      </c>
      <c r="F73" s="77">
        <f t="shared" si="62"/>
        <v>12485.1975</v>
      </c>
      <c r="G73" s="77">
        <f t="shared" si="90"/>
        <v>7021.7325000000001</v>
      </c>
      <c r="H73" s="77">
        <f t="shared" si="63"/>
        <v>10265.141250000001</v>
      </c>
      <c r="I73" s="77">
        <f t="shared" si="64"/>
        <v>8788.2937500000007</v>
      </c>
      <c r="J73" s="77">
        <f t="shared" si="91"/>
        <v>5853.4312499999996</v>
      </c>
      <c r="K73" s="77">
        <f t="shared" si="65"/>
        <v>12128.71875</v>
      </c>
      <c r="L73" s="77">
        <f t="shared" si="92"/>
        <v>6146.90625</v>
      </c>
      <c r="M73" s="77">
        <f t="shared" si="66"/>
        <v>9906.27</v>
      </c>
      <c r="N73" s="77">
        <f t="shared" si="67"/>
        <v>7685.5475000000006</v>
      </c>
      <c r="O73" s="77">
        <f t="shared" si="93"/>
        <v>5024.8189999999995</v>
      </c>
      <c r="P73" s="77">
        <f t="shared" si="68"/>
        <v>3744.3</v>
      </c>
      <c r="Q73" s="77">
        <f t="shared" si="69"/>
        <v>1731.605</v>
      </c>
      <c r="R73" s="77">
        <f t="shared" si="70"/>
        <v>12570</v>
      </c>
      <c r="S73" s="77">
        <f t="shared" si="71"/>
        <v>10236.48</v>
      </c>
      <c r="T73" s="77">
        <f t="shared" si="72"/>
        <v>7903.6399999999994</v>
      </c>
      <c r="U73" s="77">
        <f t="shared" si="94"/>
        <v>4801.88</v>
      </c>
      <c r="V73" s="77">
        <f t="shared" si="73"/>
        <v>12570</v>
      </c>
      <c r="W73" s="77">
        <f t="shared" si="74"/>
        <v>10236.48</v>
      </c>
      <c r="X73" s="77">
        <f t="shared" si="75"/>
        <v>6352.36</v>
      </c>
      <c r="Y73" s="77">
        <f t="shared" si="76"/>
        <v>7438.24</v>
      </c>
      <c r="Z73" s="77">
        <f t="shared" si="77"/>
        <v>6042.04</v>
      </c>
      <c r="AA73" s="77">
        <f t="shared" si="78"/>
        <v>3970.4319999999998</v>
      </c>
      <c r="AB73" s="77">
        <f t="shared" si="79"/>
        <v>2764.8320000000003</v>
      </c>
      <c r="AC73" s="77">
        <f t="shared" si="80"/>
        <v>12570</v>
      </c>
      <c r="AD73" s="77">
        <f t="shared" si="81"/>
        <v>10236.48</v>
      </c>
      <c r="AE73" s="77">
        <f t="shared" si="82"/>
        <v>7903.6399999999994</v>
      </c>
      <c r="AF73" s="77">
        <f t="shared" si="95"/>
        <v>4801.88</v>
      </c>
      <c r="AG73" s="77">
        <f t="shared" si="83"/>
        <v>12570</v>
      </c>
      <c r="AH73" s="77">
        <f t="shared" si="84"/>
        <v>10236.48</v>
      </c>
      <c r="AI73" s="77">
        <f t="shared" si="85"/>
        <v>6352.36</v>
      </c>
      <c r="AJ73" s="77">
        <f t="shared" si="86"/>
        <v>7438.24</v>
      </c>
      <c r="AK73" s="77">
        <f t="shared" si="87"/>
        <v>6042.04</v>
      </c>
      <c r="AL73" s="77">
        <f t="shared" si="88"/>
        <v>3970.4319999999998</v>
      </c>
      <c r="AM73" s="77">
        <f t="shared" si="89"/>
        <v>2764.8320000000003</v>
      </c>
    </row>
    <row r="74" spans="1:39" x14ac:dyDescent="0.25">
      <c r="A74" s="119" t="s">
        <v>70</v>
      </c>
      <c r="B74" s="80">
        <v>72</v>
      </c>
      <c r="C74" s="180">
        <v>0.95500000000000007</v>
      </c>
      <c r="D74" s="75">
        <v>0.97</v>
      </c>
      <c r="E74" s="75">
        <v>0.93</v>
      </c>
      <c r="F74" s="77">
        <f t="shared" si="62"/>
        <v>12843.4575</v>
      </c>
      <c r="G74" s="77">
        <f t="shared" si="90"/>
        <v>7141.1525000000001</v>
      </c>
      <c r="H74" s="77">
        <f t="shared" si="63"/>
        <v>10524.251250000001</v>
      </c>
      <c r="I74" s="77">
        <f t="shared" si="64"/>
        <v>8980.7437500000015</v>
      </c>
      <c r="J74" s="77">
        <f t="shared" si="91"/>
        <v>5917.5812500000002</v>
      </c>
      <c r="K74" s="77">
        <f t="shared" si="65"/>
        <v>12520.968750000002</v>
      </c>
      <c r="L74" s="77">
        <f t="shared" si="92"/>
        <v>6277.65625</v>
      </c>
      <c r="M74" s="77">
        <f t="shared" si="66"/>
        <v>10199.790000000001</v>
      </c>
      <c r="N74" s="77">
        <f t="shared" si="67"/>
        <v>7879.4075000000003</v>
      </c>
      <c r="O74" s="77">
        <f t="shared" si="93"/>
        <v>5102.3630000000003</v>
      </c>
      <c r="P74" s="77">
        <f t="shared" si="68"/>
        <v>3809.1</v>
      </c>
      <c r="Q74" s="77">
        <f t="shared" si="69"/>
        <v>1759.085</v>
      </c>
      <c r="R74" s="77">
        <f t="shared" si="70"/>
        <v>12668.0625</v>
      </c>
      <c r="S74" s="77">
        <f t="shared" si="71"/>
        <v>10309.86</v>
      </c>
      <c r="T74" s="77">
        <f t="shared" si="72"/>
        <v>7952.1049999999996</v>
      </c>
      <c r="U74" s="77">
        <f t="shared" si="94"/>
        <v>4818.0349999999999</v>
      </c>
      <c r="V74" s="77">
        <f t="shared" si="73"/>
        <v>12668.0625</v>
      </c>
      <c r="W74" s="77">
        <f t="shared" si="74"/>
        <v>10309.86</v>
      </c>
      <c r="X74" s="77">
        <f t="shared" si="75"/>
        <v>6383.9575000000004</v>
      </c>
      <c r="Y74" s="77">
        <f t="shared" si="76"/>
        <v>7481.68</v>
      </c>
      <c r="Z74" s="77">
        <f t="shared" si="77"/>
        <v>6070.2174999999997</v>
      </c>
      <c r="AA74" s="77">
        <f t="shared" si="78"/>
        <v>3987.9364999999998</v>
      </c>
      <c r="AB74" s="77">
        <f t="shared" si="79"/>
        <v>2775.674</v>
      </c>
      <c r="AC74" s="77">
        <f t="shared" si="80"/>
        <v>12275.8125</v>
      </c>
      <c r="AD74" s="77">
        <f t="shared" si="81"/>
        <v>10016.34</v>
      </c>
      <c r="AE74" s="77">
        <f t="shared" si="82"/>
        <v>7758.2450000000008</v>
      </c>
      <c r="AF74" s="77">
        <f t="shared" si="95"/>
        <v>4753.415</v>
      </c>
      <c r="AG74" s="77">
        <f t="shared" si="83"/>
        <v>12275.8125</v>
      </c>
      <c r="AH74" s="77">
        <f t="shared" si="84"/>
        <v>10016.34</v>
      </c>
      <c r="AI74" s="77">
        <f t="shared" si="85"/>
        <v>6257.5675000000001</v>
      </c>
      <c r="AJ74" s="77">
        <f t="shared" si="86"/>
        <v>7307.92</v>
      </c>
      <c r="AK74" s="77">
        <f t="shared" si="87"/>
        <v>5957.5074999999997</v>
      </c>
      <c r="AL74" s="77">
        <f t="shared" si="88"/>
        <v>3917.9185000000002</v>
      </c>
      <c r="AM74" s="77">
        <f t="shared" si="89"/>
        <v>2732.306</v>
      </c>
    </row>
    <row r="75" spans="1:39" x14ac:dyDescent="0.25">
      <c r="A75" s="119" t="s">
        <v>105</v>
      </c>
      <c r="B75" s="80">
        <v>73</v>
      </c>
      <c r="C75" s="180">
        <v>0.90999999999999992</v>
      </c>
      <c r="D75" s="75">
        <v>0.97</v>
      </c>
      <c r="E75" s="75">
        <v>0.91</v>
      </c>
      <c r="F75" s="77">
        <f t="shared" si="62"/>
        <v>12440.414999999999</v>
      </c>
      <c r="G75" s="77">
        <f t="shared" si="90"/>
        <v>7006.8050000000003</v>
      </c>
      <c r="H75" s="77">
        <f t="shared" si="63"/>
        <v>10232.752499999999</v>
      </c>
      <c r="I75" s="77">
        <f t="shared" si="64"/>
        <v>8764.2374999999993</v>
      </c>
      <c r="J75" s="77">
        <f t="shared" si="91"/>
        <v>5845.4125000000004</v>
      </c>
      <c r="K75" s="77">
        <f t="shared" si="65"/>
        <v>12079.687499999998</v>
      </c>
      <c r="L75" s="77">
        <f t="shared" si="92"/>
        <v>6130.5625</v>
      </c>
      <c r="M75" s="77">
        <f t="shared" si="66"/>
        <v>9869.5799999999981</v>
      </c>
      <c r="N75" s="77">
        <f t="shared" si="67"/>
        <v>7661.3149999999996</v>
      </c>
      <c r="O75" s="77">
        <f t="shared" si="93"/>
        <v>5015.1260000000002</v>
      </c>
      <c r="P75" s="77">
        <f t="shared" si="68"/>
        <v>3736.2</v>
      </c>
      <c r="Q75" s="77">
        <f t="shared" si="69"/>
        <v>1728.1699999999998</v>
      </c>
      <c r="R75" s="77">
        <f t="shared" si="70"/>
        <v>12668.0625</v>
      </c>
      <c r="S75" s="77">
        <f t="shared" si="71"/>
        <v>10309.86</v>
      </c>
      <c r="T75" s="77">
        <f t="shared" si="72"/>
        <v>7952.1049999999996</v>
      </c>
      <c r="U75" s="77">
        <f t="shared" si="94"/>
        <v>4818.0349999999999</v>
      </c>
      <c r="V75" s="77">
        <f t="shared" si="73"/>
        <v>12668.0625</v>
      </c>
      <c r="W75" s="77">
        <f t="shared" si="74"/>
        <v>10309.86</v>
      </c>
      <c r="X75" s="77">
        <f t="shared" si="75"/>
        <v>6383.9575000000004</v>
      </c>
      <c r="Y75" s="77">
        <f t="shared" si="76"/>
        <v>7481.68</v>
      </c>
      <c r="Z75" s="77">
        <f t="shared" si="77"/>
        <v>6070.2174999999997</v>
      </c>
      <c r="AA75" s="77">
        <f t="shared" si="78"/>
        <v>3987.9364999999998</v>
      </c>
      <c r="AB75" s="77">
        <f t="shared" si="79"/>
        <v>2775.674</v>
      </c>
      <c r="AC75" s="77">
        <f t="shared" si="80"/>
        <v>12079.6875</v>
      </c>
      <c r="AD75" s="77">
        <f t="shared" si="81"/>
        <v>9869.58</v>
      </c>
      <c r="AE75" s="77">
        <f t="shared" si="82"/>
        <v>7661.3150000000005</v>
      </c>
      <c r="AF75" s="77">
        <f t="shared" si="95"/>
        <v>4721.1049999999996</v>
      </c>
      <c r="AG75" s="77">
        <f t="shared" si="83"/>
        <v>12079.6875</v>
      </c>
      <c r="AH75" s="77">
        <f t="shared" si="84"/>
        <v>9869.58</v>
      </c>
      <c r="AI75" s="77">
        <f t="shared" si="85"/>
        <v>6194.3724999999995</v>
      </c>
      <c r="AJ75" s="77">
        <f t="shared" si="86"/>
        <v>7221.04</v>
      </c>
      <c r="AK75" s="77">
        <f t="shared" si="87"/>
        <v>5901.1525000000001</v>
      </c>
      <c r="AL75" s="77">
        <f t="shared" si="88"/>
        <v>3882.9095000000002</v>
      </c>
      <c r="AM75" s="77">
        <f t="shared" si="89"/>
        <v>2710.6220000000003</v>
      </c>
    </row>
    <row r="76" spans="1:39" x14ac:dyDescent="0.25">
      <c r="A76" s="119" t="s">
        <v>108</v>
      </c>
      <c r="B76" s="80">
        <v>74</v>
      </c>
      <c r="C76" s="180">
        <v>0.88</v>
      </c>
      <c r="D76" s="75">
        <v>0.97</v>
      </c>
      <c r="E76" s="75">
        <v>0.97</v>
      </c>
      <c r="F76" s="77">
        <f t="shared" si="62"/>
        <v>12171.720000000001</v>
      </c>
      <c r="G76" s="77">
        <f t="shared" si="90"/>
        <v>6917.24</v>
      </c>
      <c r="H76" s="77">
        <f t="shared" si="63"/>
        <v>10038.42</v>
      </c>
      <c r="I76" s="77">
        <f t="shared" si="64"/>
        <v>8619.9</v>
      </c>
      <c r="J76" s="77">
        <f t="shared" si="91"/>
        <v>5797.3</v>
      </c>
      <c r="K76" s="77">
        <f t="shared" si="65"/>
        <v>11785.5</v>
      </c>
      <c r="L76" s="77">
        <f t="shared" si="92"/>
        <v>6032.5</v>
      </c>
      <c r="M76" s="77">
        <f t="shared" si="66"/>
        <v>9649.44</v>
      </c>
      <c r="N76" s="77">
        <f t="shared" si="67"/>
        <v>7515.92</v>
      </c>
      <c r="O76" s="77">
        <f t="shared" si="93"/>
        <v>4956.9679999999998</v>
      </c>
      <c r="P76" s="77">
        <f t="shared" si="68"/>
        <v>3687.6</v>
      </c>
      <c r="Q76" s="77">
        <f t="shared" si="69"/>
        <v>1707.56</v>
      </c>
      <c r="R76" s="77">
        <f t="shared" si="70"/>
        <v>12668.0625</v>
      </c>
      <c r="S76" s="77">
        <f t="shared" si="71"/>
        <v>10309.86</v>
      </c>
      <c r="T76" s="77">
        <f t="shared" si="72"/>
        <v>7952.1049999999996</v>
      </c>
      <c r="U76" s="77">
        <f t="shared" si="94"/>
        <v>4818.0349999999999</v>
      </c>
      <c r="V76" s="77">
        <f t="shared" si="73"/>
        <v>12668.0625</v>
      </c>
      <c r="W76" s="77">
        <f t="shared" si="74"/>
        <v>10309.86</v>
      </c>
      <c r="X76" s="77">
        <f t="shared" si="75"/>
        <v>6383.9575000000004</v>
      </c>
      <c r="Y76" s="77">
        <f t="shared" si="76"/>
        <v>7481.68</v>
      </c>
      <c r="Z76" s="77">
        <f t="shared" si="77"/>
        <v>6070.2174999999997</v>
      </c>
      <c r="AA76" s="77">
        <f t="shared" si="78"/>
        <v>3987.9364999999998</v>
      </c>
      <c r="AB76" s="77">
        <f t="shared" si="79"/>
        <v>2775.674</v>
      </c>
      <c r="AC76" s="77">
        <f t="shared" si="80"/>
        <v>12668.0625</v>
      </c>
      <c r="AD76" s="77">
        <f t="shared" si="81"/>
        <v>10309.86</v>
      </c>
      <c r="AE76" s="77">
        <f t="shared" si="82"/>
        <v>7952.1049999999996</v>
      </c>
      <c r="AF76" s="77">
        <f t="shared" si="95"/>
        <v>4818.0349999999999</v>
      </c>
      <c r="AG76" s="77">
        <f t="shared" si="83"/>
        <v>12668.0625</v>
      </c>
      <c r="AH76" s="77">
        <f t="shared" si="84"/>
        <v>10309.86</v>
      </c>
      <c r="AI76" s="77">
        <f t="shared" si="85"/>
        <v>6383.9575000000004</v>
      </c>
      <c r="AJ76" s="77">
        <f t="shared" si="86"/>
        <v>7481.68</v>
      </c>
      <c r="AK76" s="77">
        <f t="shared" si="87"/>
        <v>6070.2174999999997</v>
      </c>
      <c r="AL76" s="77">
        <f t="shared" si="88"/>
        <v>3987.9364999999998</v>
      </c>
      <c r="AM76" s="77">
        <f t="shared" si="89"/>
        <v>2775.674</v>
      </c>
    </row>
    <row r="77" spans="1:39" x14ac:dyDescent="0.25">
      <c r="A77" s="119" t="s">
        <v>113</v>
      </c>
      <c r="B77" s="80">
        <v>75</v>
      </c>
      <c r="C77" s="180">
        <v>0.89500000000000002</v>
      </c>
      <c r="D77" s="75">
        <v>0.95</v>
      </c>
      <c r="E77" s="75">
        <v>0.93</v>
      </c>
      <c r="F77" s="77">
        <f t="shared" si="62"/>
        <v>12306.067500000001</v>
      </c>
      <c r="G77" s="77">
        <f t="shared" si="90"/>
        <v>6962.0225</v>
      </c>
      <c r="H77" s="77">
        <f t="shared" si="63"/>
        <v>10135.58625</v>
      </c>
      <c r="I77" s="77">
        <f t="shared" si="64"/>
        <v>8692.0687500000004</v>
      </c>
      <c r="J77" s="77">
        <f t="shared" si="91"/>
        <v>5821.3562499999998</v>
      </c>
      <c r="K77" s="77">
        <f t="shared" si="65"/>
        <v>11932.59375</v>
      </c>
      <c r="L77" s="77">
        <f t="shared" si="92"/>
        <v>6081.53125</v>
      </c>
      <c r="M77" s="77">
        <f t="shared" si="66"/>
        <v>9759.51</v>
      </c>
      <c r="N77" s="77">
        <f t="shared" si="67"/>
        <v>7588.6175000000003</v>
      </c>
      <c r="O77" s="77">
        <f t="shared" si="93"/>
        <v>4986.0470000000005</v>
      </c>
      <c r="P77" s="77">
        <f t="shared" si="68"/>
        <v>3711.8999999999996</v>
      </c>
      <c r="Q77" s="77">
        <f t="shared" si="69"/>
        <v>1717.865</v>
      </c>
      <c r="R77" s="77">
        <f t="shared" si="70"/>
        <v>12471.9375</v>
      </c>
      <c r="S77" s="77">
        <f t="shared" si="71"/>
        <v>10163.099999999999</v>
      </c>
      <c r="T77" s="77">
        <f t="shared" si="72"/>
        <v>7855.1749999999993</v>
      </c>
      <c r="U77" s="77">
        <f t="shared" si="94"/>
        <v>4785.7250000000004</v>
      </c>
      <c r="V77" s="77">
        <f t="shared" si="73"/>
        <v>12471.9375</v>
      </c>
      <c r="W77" s="77">
        <f t="shared" si="74"/>
        <v>10163.099999999999</v>
      </c>
      <c r="X77" s="77">
        <f t="shared" si="75"/>
        <v>6320.7624999999998</v>
      </c>
      <c r="Y77" s="77">
        <f t="shared" si="76"/>
        <v>7394.8</v>
      </c>
      <c r="Z77" s="77">
        <f t="shared" si="77"/>
        <v>6013.8624999999993</v>
      </c>
      <c r="AA77" s="77">
        <f t="shared" si="78"/>
        <v>3952.9274999999998</v>
      </c>
      <c r="AB77" s="77">
        <f t="shared" si="79"/>
        <v>2753.99</v>
      </c>
      <c r="AC77" s="77">
        <f t="shared" si="80"/>
        <v>12275.8125</v>
      </c>
      <c r="AD77" s="77">
        <f t="shared" si="81"/>
        <v>10016.34</v>
      </c>
      <c r="AE77" s="77">
        <f t="shared" si="82"/>
        <v>7758.2450000000008</v>
      </c>
      <c r="AF77" s="77">
        <f t="shared" si="95"/>
        <v>4753.415</v>
      </c>
      <c r="AG77" s="77">
        <f t="shared" si="83"/>
        <v>12275.8125</v>
      </c>
      <c r="AH77" s="77">
        <f t="shared" si="84"/>
        <v>10016.34</v>
      </c>
      <c r="AI77" s="77">
        <f t="shared" si="85"/>
        <v>6257.5675000000001</v>
      </c>
      <c r="AJ77" s="77">
        <f t="shared" si="86"/>
        <v>7307.92</v>
      </c>
      <c r="AK77" s="77">
        <f t="shared" si="87"/>
        <v>5957.5074999999997</v>
      </c>
      <c r="AL77" s="77">
        <f t="shared" si="88"/>
        <v>3917.9185000000002</v>
      </c>
      <c r="AM77" s="77">
        <f t="shared" si="89"/>
        <v>2732.306</v>
      </c>
    </row>
    <row r="78" spans="1:39" x14ac:dyDescent="0.25">
      <c r="A78" s="119" t="s">
        <v>111</v>
      </c>
      <c r="B78" s="80">
        <v>76</v>
      </c>
      <c r="C78" s="180">
        <v>0.89</v>
      </c>
      <c r="D78" s="75">
        <v>0.97</v>
      </c>
      <c r="E78" s="75">
        <v>0.93</v>
      </c>
      <c r="F78" s="77">
        <f t="shared" si="62"/>
        <v>12261.285</v>
      </c>
      <c r="G78" s="77">
        <f t="shared" si="90"/>
        <v>6947.0950000000003</v>
      </c>
      <c r="H78" s="77">
        <f t="shared" si="63"/>
        <v>10103.1975</v>
      </c>
      <c r="I78" s="77">
        <f t="shared" si="64"/>
        <v>8668.0125000000007</v>
      </c>
      <c r="J78" s="77">
        <f t="shared" si="91"/>
        <v>5813.3374999999996</v>
      </c>
      <c r="K78" s="77">
        <f t="shared" si="65"/>
        <v>11883.5625</v>
      </c>
      <c r="L78" s="77">
        <f t="shared" si="92"/>
        <v>6065.1875</v>
      </c>
      <c r="M78" s="77">
        <f t="shared" si="66"/>
        <v>9722.82</v>
      </c>
      <c r="N78" s="77">
        <f t="shared" si="67"/>
        <v>7564.3850000000002</v>
      </c>
      <c r="O78" s="77">
        <f t="shared" si="93"/>
        <v>4976.3540000000003</v>
      </c>
      <c r="P78" s="77">
        <f t="shared" si="68"/>
        <v>3703.8</v>
      </c>
      <c r="Q78" s="77">
        <f t="shared" si="69"/>
        <v>1714.43</v>
      </c>
      <c r="R78" s="77">
        <f t="shared" si="70"/>
        <v>12668.0625</v>
      </c>
      <c r="S78" s="77">
        <f t="shared" si="71"/>
        <v>10309.86</v>
      </c>
      <c r="T78" s="77">
        <f t="shared" si="72"/>
        <v>7952.1049999999996</v>
      </c>
      <c r="U78" s="77">
        <f t="shared" si="94"/>
        <v>4818.0349999999999</v>
      </c>
      <c r="V78" s="77">
        <f t="shared" si="73"/>
        <v>12668.0625</v>
      </c>
      <c r="W78" s="77">
        <f t="shared" si="74"/>
        <v>10309.86</v>
      </c>
      <c r="X78" s="77">
        <f t="shared" si="75"/>
        <v>6383.9575000000004</v>
      </c>
      <c r="Y78" s="77">
        <f t="shared" si="76"/>
        <v>7481.68</v>
      </c>
      <c r="Z78" s="77">
        <f t="shared" si="77"/>
        <v>6070.2174999999997</v>
      </c>
      <c r="AA78" s="77">
        <f t="shared" si="78"/>
        <v>3987.9364999999998</v>
      </c>
      <c r="AB78" s="77">
        <f t="shared" si="79"/>
        <v>2775.674</v>
      </c>
      <c r="AC78" s="77">
        <f t="shared" si="80"/>
        <v>12275.8125</v>
      </c>
      <c r="AD78" s="77">
        <f t="shared" si="81"/>
        <v>10016.34</v>
      </c>
      <c r="AE78" s="77">
        <f t="shared" si="82"/>
        <v>7758.2450000000008</v>
      </c>
      <c r="AF78" s="77">
        <f t="shared" si="95"/>
        <v>4753.415</v>
      </c>
      <c r="AG78" s="77">
        <f t="shared" si="83"/>
        <v>12275.8125</v>
      </c>
      <c r="AH78" s="77">
        <f t="shared" si="84"/>
        <v>10016.34</v>
      </c>
      <c r="AI78" s="77">
        <f t="shared" si="85"/>
        <v>6257.5675000000001</v>
      </c>
      <c r="AJ78" s="77">
        <f t="shared" si="86"/>
        <v>7307.92</v>
      </c>
      <c r="AK78" s="77">
        <f t="shared" si="87"/>
        <v>5957.5074999999997</v>
      </c>
      <c r="AL78" s="77">
        <f t="shared" si="88"/>
        <v>3917.9185000000002</v>
      </c>
      <c r="AM78" s="77">
        <f t="shared" si="89"/>
        <v>2732.306</v>
      </c>
    </row>
    <row r="79" spans="1:39" x14ac:dyDescent="0.25">
      <c r="A79" s="119" t="s">
        <v>120</v>
      </c>
      <c r="B79" s="80">
        <v>77</v>
      </c>
      <c r="C79" s="180">
        <v>0.85499999999999998</v>
      </c>
      <c r="D79" s="75">
        <v>0.96</v>
      </c>
      <c r="E79" s="75">
        <v>0.93</v>
      </c>
      <c r="F79" s="77">
        <f t="shared" si="62"/>
        <v>11947.807499999999</v>
      </c>
      <c r="G79" s="77">
        <f t="shared" si="90"/>
        <v>6842.6025</v>
      </c>
      <c r="H79" s="77">
        <f t="shared" si="63"/>
        <v>9876.4762499999997</v>
      </c>
      <c r="I79" s="77">
        <f t="shared" si="64"/>
        <v>8499.6187499999996</v>
      </c>
      <c r="J79" s="77">
        <f t="shared" si="91"/>
        <v>5757.2062500000002</v>
      </c>
      <c r="K79" s="77">
        <f t="shared" si="65"/>
        <v>11540.34375</v>
      </c>
      <c r="L79" s="77">
        <f t="shared" si="92"/>
        <v>5950.78125</v>
      </c>
      <c r="M79" s="77">
        <f t="shared" si="66"/>
        <v>9465.99</v>
      </c>
      <c r="N79" s="77">
        <f t="shared" si="67"/>
        <v>7394.7574999999997</v>
      </c>
      <c r="O79" s="77">
        <f t="shared" si="93"/>
        <v>4908.5029999999997</v>
      </c>
      <c r="P79" s="77">
        <f t="shared" si="68"/>
        <v>3647.1</v>
      </c>
      <c r="Q79" s="77">
        <f t="shared" si="69"/>
        <v>1690.385</v>
      </c>
      <c r="R79" s="77">
        <f t="shared" si="70"/>
        <v>12570</v>
      </c>
      <c r="S79" s="77">
        <f t="shared" si="71"/>
        <v>10236.48</v>
      </c>
      <c r="T79" s="77">
        <f t="shared" si="72"/>
        <v>7903.6399999999994</v>
      </c>
      <c r="U79" s="77">
        <f t="shared" si="94"/>
        <v>4801.88</v>
      </c>
      <c r="V79" s="77">
        <f t="shared" si="73"/>
        <v>12570</v>
      </c>
      <c r="W79" s="77">
        <f t="shared" si="74"/>
        <v>10236.48</v>
      </c>
      <c r="X79" s="77">
        <f t="shared" si="75"/>
        <v>6352.36</v>
      </c>
      <c r="Y79" s="77">
        <f t="shared" si="76"/>
        <v>7438.24</v>
      </c>
      <c r="Z79" s="77">
        <f t="shared" si="77"/>
        <v>6042.04</v>
      </c>
      <c r="AA79" s="77">
        <f t="shared" si="78"/>
        <v>3970.4319999999998</v>
      </c>
      <c r="AB79" s="77">
        <f t="shared" si="79"/>
        <v>2764.8320000000003</v>
      </c>
      <c r="AC79" s="77">
        <f t="shared" si="80"/>
        <v>12275.8125</v>
      </c>
      <c r="AD79" s="77">
        <f t="shared" si="81"/>
        <v>10016.34</v>
      </c>
      <c r="AE79" s="77">
        <f t="shared" si="82"/>
        <v>7758.2450000000008</v>
      </c>
      <c r="AF79" s="77">
        <f t="shared" si="95"/>
        <v>4753.415</v>
      </c>
      <c r="AG79" s="77">
        <f t="shared" si="83"/>
        <v>12275.8125</v>
      </c>
      <c r="AH79" s="77">
        <f t="shared" si="84"/>
        <v>10016.34</v>
      </c>
      <c r="AI79" s="77">
        <f t="shared" si="85"/>
        <v>6257.5675000000001</v>
      </c>
      <c r="AJ79" s="77">
        <f t="shared" si="86"/>
        <v>7307.92</v>
      </c>
      <c r="AK79" s="77">
        <f t="shared" si="87"/>
        <v>5957.5074999999997</v>
      </c>
      <c r="AL79" s="77">
        <f t="shared" si="88"/>
        <v>3917.9185000000002</v>
      </c>
      <c r="AM79" s="77">
        <f t="shared" si="89"/>
        <v>2732.306</v>
      </c>
    </row>
    <row r="80" spans="1:39" x14ac:dyDescent="0.25">
      <c r="A80" s="119" t="s">
        <v>107</v>
      </c>
      <c r="B80" s="80">
        <v>78</v>
      </c>
      <c r="C80" s="180">
        <v>0.89500000000000002</v>
      </c>
      <c r="D80" s="75">
        <v>0.95</v>
      </c>
      <c r="E80" s="75">
        <v>0.92</v>
      </c>
      <c r="F80" s="77">
        <f t="shared" si="62"/>
        <v>12306.067500000001</v>
      </c>
      <c r="G80" s="77">
        <f t="shared" si="90"/>
        <v>6962.0225</v>
      </c>
      <c r="H80" s="77">
        <f t="shared" si="63"/>
        <v>10135.58625</v>
      </c>
      <c r="I80" s="77">
        <f t="shared" si="64"/>
        <v>8692.0687500000004</v>
      </c>
      <c r="J80" s="77">
        <f t="shared" si="91"/>
        <v>5821.3562499999998</v>
      </c>
      <c r="K80" s="77">
        <f t="shared" si="65"/>
        <v>11932.59375</v>
      </c>
      <c r="L80" s="77">
        <f t="shared" si="92"/>
        <v>6081.53125</v>
      </c>
      <c r="M80" s="77">
        <f t="shared" si="66"/>
        <v>9759.51</v>
      </c>
      <c r="N80" s="77">
        <f t="shared" si="67"/>
        <v>7588.6175000000003</v>
      </c>
      <c r="O80" s="77">
        <f t="shared" si="93"/>
        <v>4986.0470000000005</v>
      </c>
      <c r="P80" s="77">
        <f t="shared" si="68"/>
        <v>3711.8999999999996</v>
      </c>
      <c r="Q80" s="77">
        <f t="shared" si="69"/>
        <v>1717.865</v>
      </c>
      <c r="R80" s="77">
        <f t="shared" si="70"/>
        <v>12471.9375</v>
      </c>
      <c r="S80" s="77">
        <f t="shared" si="71"/>
        <v>10163.099999999999</v>
      </c>
      <c r="T80" s="77">
        <f t="shared" si="72"/>
        <v>7855.1749999999993</v>
      </c>
      <c r="U80" s="77">
        <f t="shared" si="94"/>
        <v>4785.7250000000004</v>
      </c>
      <c r="V80" s="77">
        <f t="shared" si="73"/>
        <v>12471.9375</v>
      </c>
      <c r="W80" s="77">
        <f t="shared" si="74"/>
        <v>10163.099999999999</v>
      </c>
      <c r="X80" s="77">
        <f t="shared" si="75"/>
        <v>6320.7624999999998</v>
      </c>
      <c r="Y80" s="77">
        <f t="shared" si="76"/>
        <v>7394.8</v>
      </c>
      <c r="Z80" s="77">
        <f t="shared" si="77"/>
        <v>6013.8624999999993</v>
      </c>
      <c r="AA80" s="77">
        <f t="shared" si="78"/>
        <v>3952.9274999999998</v>
      </c>
      <c r="AB80" s="77">
        <f t="shared" si="79"/>
        <v>2753.99</v>
      </c>
      <c r="AC80" s="77">
        <f t="shared" si="80"/>
        <v>12177.75</v>
      </c>
      <c r="AD80" s="77">
        <f t="shared" si="81"/>
        <v>9942.9600000000009</v>
      </c>
      <c r="AE80" s="77">
        <f t="shared" si="82"/>
        <v>7709.78</v>
      </c>
      <c r="AF80" s="77">
        <f t="shared" si="95"/>
        <v>4737.26</v>
      </c>
      <c r="AG80" s="77">
        <f t="shared" si="83"/>
        <v>12177.75</v>
      </c>
      <c r="AH80" s="77">
        <f t="shared" si="84"/>
        <v>9942.9600000000009</v>
      </c>
      <c r="AI80" s="77">
        <f t="shared" si="85"/>
        <v>6225.97</v>
      </c>
      <c r="AJ80" s="77">
        <f t="shared" si="86"/>
        <v>7264.48</v>
      </c>
      <c r="AK80" s="77">
        <f t="shared" si="87"/>
        <v>5929.33</v>
      </c>
      <c r="AL80" s="77">
        <f t="shared" si="88"/>
        <v>3900.4140000000002</v>
      </c>
      <c r="AM80" s="77">
        <f t="shared" si="89"/>
        <v>2721.4639999999999</v>
      </c>
    </row>
    <row r="81" spans="1:39" x14ac:dyDescent="0.25">
      <c r="A81" s="119" t="s">
        <v>112</v>
      </c>
      <c r="B81" s="80">
        <v>79</v>
      </c>
      <c r="C81" s="180">
        <v>0.88500000000000001</v>
      </c>
      <c r="D81" s="75">
        <v>0.97</v>
      </c>
      <c r="E81" s="75">
        <v>0.97</v>
      </c>
      <c r="F81" s="77">
        <f t="shared" si="62"/>
        <v>12216.502500000001</v>
      </c>
      <c r="G81" s="77">
        <f t="shared" si="90"/>
        <v>6932.1674999999996</v>
      </c>
      <c r="H81" s="77">
        <f t="shared" si="63"/>
        <v>10070.80875</v>
      </c>
      <c r="I81" s="77">
        <f t="shared" si="64"/>
        <v>8643.9562499999993</v>
      </c>
      <c r="J81" s="77">
        <f t="shared" si="91"/>
        <v>5805.3187500000004</v>
      </c>
      <c r="K81" s="77">
        <f t="shared" si="65"/>
        <v>11834.53125</v>
      </c>
      <c r="L81" s="77">
        <f t="shared" si="92"/>
        <v>6048.84375</v>
      </c>
      <c r="M81" s="77">
        <f t="shared" si="66"/>
        <v>9686.130000000001</v>
      </c>
      <c r="N81" s="77">
        <f t="shared" si="67"/>
        <v>7540.1525000000001</v>
      </c>
      <c r="O81" s="77">
        <f t="shared" si="93"/>
        <v>4966.6610000000001</v>
      </c>
      <c r="P81" s="77">
        <f t="shared" si="68"/>
        <v>3695.7</v>
      </c>
      <c r="Q81" s="77">
        <f t="shared" si="69"/>
        <v>1710.9949999999999</v>
      </c>
      <c r="R81" s="77">
        <f t="shared" si="70"/>
        <v>12668.0625</v>
      </c>
      <c r="S81" s="77">
        <f t="shared" si="71"/>
        <v>10309.86</v>
      </c>
      <c r="T81" s="77">
        <f t="shared" si="72"/>
        <v>7952.1049999999996</v>
      </c>
      <c r="U81" s="77">
        <f t="shared" si="94"/>
        <v>4818.0349999999999</v>
      </c>
      <c r="V81" s="77">
        <f t="shared" si="73"/>
        <v>12668.0625</v>
      </c>
      <c r="W81" s="77">
        <f t="shared" si="74"/>
        <v>10309.86</v>
      </c>
      <c r="X81" s="77">
        <f t="shared" si="75"/>
        <v>6383.9575000000004</v>
      </c>
      <c r="Y81" s="77">
        <f t="shared" si="76"/>
        <v>7481.68</v>
      </c>
      <c r="Z81" s="77">
        <f t="shared" si="77"/>
        <v>6070.2174999999997</v>
      </c>
      <c r="AA81" s="77">
        <f t="shared" si="78"/>
        <v>3987.9364999999998</v>
      </c>
      <c r="AB81" s="77">
        <f t="shared" si="79"/>
        <v>2775.674</v>
      </c>
      <c r="AC81" s="77">
        <f t="shared" si="80"/>
        <v>12668.0625</v>
      </c>
      <c r="AD81" s="77">
        <f t="shared" si="81"/>
        <v>10309.86</v>
      </c>
      <c r="AE81" s="77">
        <f t="shared" si="82"/>
        <v>7952.1049999999996</v>
      </c>
      <c r="AF81" s="77">
        <f t="shared" si="95"/>
        <v>4818.0349999999999</v>
      </c>
      <c r="AG81" s="77">
        <f t="shared" si="83"/>
        <v>12668.0625</v>
      </c>
      <c r="AH81" s="77">
        <f t="shared" si="84"/>
        <v>10309.86</v>
      </c>
      <c r="AI81" s="77">
        <f t="shared" si="85"/>
        <v>6383.9575000000004</v>
      </c>
      <c r="AJ81" s="77">
        <f t="shared" si="86"/>
        <v>7481.68</v>
      </c>
      <c r="AK81" s="77">
        <f t="shared" si="87"/>
        <v>6070.2174999999997</v>
      </c>
      <c r="AL81" s="77">
        <f t="shared" si="88"/>
        <v>3987.9364999999998</v>
      </c>
      <c r="AM81" s="77">
        <f t="shared" si="89"/>
        <v>2775.674</v>
      </c>
    </row>
    <row r="82" spans="1:39" x14ac:dyDescent="0.25">
      <c r="A82" s="119" t="s">
        <v>84</v>
      </c>
      <c r="B82" s="80">
        <v>80</v>
      </c>
      <c r="C82" s="180">
        <v>0.91500000000000004</v>
      </c>
      <c r="D82" s="75">
        <v>0.97</v>
      </c>
      <c r="E82" s="75">
        <v>0.94</v>
      </c>
      <c r="F82" s="77">
        <f t="shared" si="62"/>
        <v>12485.1975</v>
      </c>
      <c r="G82" s="77">
        <f t="shared" si="90"/>
        <v>7021.7325000000001</v>
      </c>
      <c r="H82" s="77">
        <f t="shared" si="63"/>
        <v>10265.141250000001</v>
      </c>
      <c r="I82" s="77">
        <f t="shared" si="64"/>
        <v>8788.2937500000007</v>
      </c>
      <c r="J82" s="77">
        <f t="shared" si="91"/>
        <v>5853.4312499999996</v>
      </c>
      <c r="K82" s="77">
        <f t="shared" si="65"/>
        <v>12128.71875</v>
      </c>
      <c r="L82" s="77">
        <f t="shared" si="92"/>
        <v>6146.90625</v>
      </c>
      <c r="M82" s="77">
        <f t="shared" si="66"/>
        <v>9906.27</v>
      </c>
      <c r="N82" s="77">
        <f t="shared" si="67"/>
        <v>7685.5475000000006</v>
      </c>
      <c r="O82" s="77">
        <f t="shared" si="93"/>
        <v>5024.8189999999995</v>
      </c>
      <c r="P82" s="77">
        <f t="shared" si="68"/>
        <v>3744.3</v>
      </c>
      <c r="Q82" s="77">
        <f t="shared" si="69"/>
        <v>1731.605</v>
      </c>
      <c r="R82" s="77">
        <f t="shared" si="70"/>
        <v>12668.0625</v>
      </c>
      <c r="S82" s="77">
        <f t="shared" si="71"/>
        <v>10309.86</v>
      </c>
      <c r="T82" s="77">
        <f t="shared" si="72"/>
        <v>7952.1049999999996</v>
      </c>
      <c r="U82" s="77">
        <f t="shared" si="94"/>
        <v>4818.0349999999999</v>
      </c>
      <c r="V82" s="77">
        <f t="shared" si="73"/>
        <v>12668.0625</v>
      </c>
      <c r="W82" s="77">
        <f t="shared" si="74"/>
        <v>10309.86</v>
      </c>
      <c r="X82" s="77">
        <f t="shared" si="75"/>
        <v>6383.9575000000004</v>
      </c>
      <c r="Y82" s="77">
        <f t="shared" si="76"/>
        <v>7481.68</v>
      </c>
      <c r="Z82" s="77">
        <f t="shared" si="77"/>
        <v>6070.2174999999997</v>
      </c>
      <c r="AA82" s="77">
        <f t="shared" si="78"/>
        <v>3987.9364999999998</v>
      </c>
      <c r="AB82" s="77">
        <f t="shared" si="79"/>
        <v>2775.674</v>
      </c>
      <c r="AC82" s="77">
        <f t="shared" si="80"/>
        <v>12373.875</v>
      </c>
      <c r="AD82" s="77">
        <f t="shared" si="81"/>
        <v>10089.719999999999</v>
      </c>
      <c r="AE82" s="77">
        <f t="shared" si="82"/>
        <v>7806.71</v>
      </c>
      <c r="AF82" s="77">
        <f t="shared" si="95"/>
        <v>4769.57</v>
      </c>
      <c r="AG82" s="77">
        <f t="shared" si="83"/>
        <v>12373.875</v>
      </c>
      <c r="AH82" s="77">
        <f t="shared" si="84"/>
        <v>10089.719999999999</v>
      </c>
      <c r="AI82" s="77">
        <f t="shared" si="85"/>
        <v>6289.165</v>
      </c>
      <c r="AJ82" s="77">
        <f t="shared" si="86"/>
        <v>7351.36</v>
      </c>
      <c r="AK82" s="77">
        <f t="shared" si="87"/>
        <v>5985.6849999999995</v>
      </c>
      <c r="AL82" s="77">
        <f t="shared" si="88"/>
        <v>3935.4229999999998</v>
      </c>
      <c r="AM82" s="77">
        <f t="shared" si="89"/>
        <v>2743.1480000000001</v>
      </c>
    </row>
    <row r="83" spans="1:39" x14ac:dyDescent="0.25">
      <c r="A83" s="119" t="s">
        <v>86</v>
      </c>
      <c r="B83" s="80">
        <v>81</v>
      </c>
      <c r="C83" s="180">
        <v>0.90999999999999992</v>
      </c>
      <c r="D83" s="75">
        <v>0.97</v>
      </c>
      <c r="E83" s="75">
        <v>0.94</v>
      </c>
      <c r="F83" s="77">
        <f t="shared" si="62"/>
        <v>12440.414999999999</v>
      </c>
      <c r="G83" s="77">
        <f t="shared" si="90"/>
        <v>7006.8050000000003</v>
      </c>
      <c r="H83" s="77">
        <f t="shared" si="63"/>
        <v>10232.752499999999</v>
      </c>
      <c r="I83" s="77">
        <f t="shared" si="64"/>
        <v>8764.2374999999993</v>
      </c>
      <c r="J83" s="77">
        <f t="shared" si="91"/>
        <v>5845.4125000000004</v>
      </c>
      <c r="K83" s="77">
        <f t="shared" si="65"/>
        <v>12079.687499999998</v>
      </c>
      <c r="L83" s="77">
        <f t="shared" si="92"/>
        <v>6130.5625</v>
      </c>
      <c r="M83" s="77">
        <f t="shared" si="66"/>
        <v>9869.5799999999981</v>
      </c>
      <c r="N83" s="77">
        <f t="shared" si="67"/>
        <v>7661.3149999999996</v>
      </c>
      <c r="O83" s="77">
        <f t="shared" si="93"/>
        <v>5015.1260000000002</v>
      </c>
      <c r="P83" s="77">
        <f t="shared" si="68"/>
        <v>3736.2</v>
      </c>
      <c r="Q83" s="77">
        <f t="shared" si="69"/>
        <v>1728.1699999999998</v>
      </c>
      <c r="R83" s="77">
        <f t="shared" si="70"/>
        <v>12668.0625</v>
      </c>
      <c r="S83" s="77">
        <f t="shared" si="71"/>
        <v>10309.86</v>
      </c>
      <c r="T83" s="77">
        <f t="shared" si="72"/>
        <v>7952.1049999999996</v>
      </c>
      <c r="U83" s="77">
        <f t="shared" si="94"/>
        <v>4818.0349999999999</v>
      </c>
      <c r="V83" s="77">
        <f t="shared" si="73"/>
        <v>12668.0625</v>
      </c>
      <c r="W83" s="77">
        <f t="shared" si="74"/>
        <v>10309.86</v>
      </c>
      <c r="X83" s="77">
        <f t="shared" si="75"/>
        <v>6383.9575000000004</v>
      </c>
      <c r="Y83" s="77">
        <f t="shared" si="76"/>
        <v>7481.68</v>
      </c>
      <c r="Z83" s="77">
        <f t="shared" si="77"/>
        <v>6070.2174999999997</v>
      </c>
      <c r="AA83" s="77">
        <f t="shared" si="78"/>
        <v>3987.9364999999998</v>
      </c>
      <c r="AB83" s="77">
        <f t="shared" si="79"/>
        <v>2775.674</v>
      </c>
      <c r="AC83" s="77">
        <f t="shared" si="80"/>
        <v>12373.875</v>
      </c>
      <c r="AD83" s="77">
        <f t="shared" si="81"/>
        <v>10089.719999999999</v>
      </c>
      <c r="AE83" s="77">
        <f t="shared" si="82"/>
        <v>7806.71</v>
      </c>
      <c r="AF83" s="77">
        <f t="shared" si="95"/>
        <v>4769.57</v>
      </c>
      <c r="AG83" s="77">
        <f t="shared" si="83"/>
        <v>12373.875</v>
      </c>
      <c r="AH83" s="77">
        <f t="shared" si="84"/>
        <v>10089.719999999999</v>
      </c>
      <c r="AI83" s="77">
        <f t="shared" si="85"/>
        <v>6289.165</v>
      </c>
      <c r="AJ83" s="77">
        <f t="shared" si="86"/>
        <v>7351.36</v>
      </c>
      <c r="AK83" s="77">
        <f t="shared" si="87"/>
        <v>5985.6849999999995</v>
      </c>
      <c r="AL83" s="77">
        <f t="shared" si="88"/>
        <v>3935.4229999999998</v>
      </c>
      <c r="AM83" s="77">
        <f t="shared" si="89"/>
        <v>2743.1480000000001</v>
      </c>
    </row>
  </sheetData>
  <sortState ref="A3:AG83">
    <sortCondition ref="B3:B8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10" workbookViewId="0">
      <selection activeCell="J23" sqref="J23"/>
    </sheetView>
  </sheetViews>
  <sheetFormatPr defaultColWidth="9.140625" defaultRowHeight="15" x14ac:dyDescent="0.25"/>
  <cols>
    <col min="1" max="1" width="26.140625" style="6" customWidth="1"/>
    <col min="2" max="2" width="39.28515625" style="6" customWidth="1"/>
    <col min="3" max="6" width="18.5703125" style="6" customWidth="1"/>
    <col min="7" max="7" width="17.140625" style="64" customWidth="1"/>
    <col min="8" max="8" width="18" style="6" customWidth="1"/>
    <col min="9" max="9" width="20.5703125" style="6" customWidth="1"/>
    <col min="10" max="10" width="14" style="6" customWidth="1"/>
    <col min="11" max="11" width="12.85546875" style="6" bestFit="1" customWidth="1"/>
    <col min="12" max="12" width="11.85546875" style="6" bestFit="1" customWidth="1"/>
    <col min="13" max="13" width="10.28515625" style="6" bestFit="1" customWidth="1"/>
    <col min="14" max="16384" width="9.140625" style="6"/>
  </cols>
  <sheetData>
    <row r="1" spans="1:9" s="1" customFormat="1" ht="46.5" customHeight="1" thickBot="1" x14ac:dyDescent="0.3">
      <c r="A1" s="684" t="s">
        <v>153</v>
      </c>
      <c r="B1" s="685"/>
      <c r="C1" s="685"/>
      <c r="D1" s="685"/>
      <c r="E1" s="685"/>
      <c r="F1" s="685"/>
      <c r="G1" s="685"/>
      <c r="H1" s="686"/>
      <c r="I1" s="6"/>
    </row>
    <row r="2" spans="1:9" s="1" customFormat="1" ht="21" x14ac:dyDescent="0.25">
      <c r="A2" s="108"/>
      <c r="B2" s="81"/>
      <c r="C2" s="81"/>
      <c r="D2" s="81"/>
      <c r="E2" s="81"/>
      <c r="H2" s="94"/>
    </row>
    <row r="3" spans="1:9" s="89" customFormat="1" ht="31.5" customHeight="1" x14ac:dyDescent="0.25">
      <c r="A3" s="109"/>
      <c r="B3" s="2"/>
      <c r="C3" s="74" t="s">
        <v>147</v>
      </c>
      <c r="D3" s="74" t="s">
        <v>121</v>
      </c>
      <c r="E3" s="74" t="s">
        <v>122</v>
      </c>
      <c r="F3" s="74" t="s">
        <v>123</v>
      </c>
      <c r="H3" s="110"/>
    </row>
    <row r="4" spans="1:9" s="1" customFormat="1" ht="27" customHeight="1" x14ac:dyDescent="0.25">
      <c r="A4" s="111" t="s">
        <v>146</v>
      </c>
      <c r="B4" s="82"/>
      <c r="C4" s="82">
        <v>16</v>
      </c>
      <c r="D4" s="83">
        <f>VLOOKUP(C4,Tablo!B:C,2,0)</f>
        <v>0.96</v>
      </c>
      <c r="E4" s="82">
        <f>VLOOKUP(C4,Tablo!B:D,3,0)</f>
        <v>0.96</v>
      </c>
      <c r="F4" s="82">
        <f>VLOOKUP(C4,Tablo!B:E,4,0)</f>
        <v>0.88</v>
      </c>
      <c r="H4" s="94"/>
    </row>
    <row r="5" spans="1:9" s="1" customFormat="1" ht="21.75" thickBot="1" x14ac:dyDescent="0.3">
      <c r="A5" s="108"/>
      <c r="B5" s="81"/>
      <c r="C5" s="81"/>
      <c r="D5" s="81"/>
      <c r="E5" s="81"/>
      <c r="H5" s="94"/>
    </row>
    <row r="6" spans="1:9" s="1" customFormat="1" ht="21.75" thickBot="1" x14ac:dyDescent="0.3">
      <c r="A6" s="687" t="s">
        <v>1</v>
      </c>
      <c r="B6" s="688"/>
      <c r="C6" s="688"/>
      <c r="D6" s="688"/>
      <c r="E6" s="688"/>
      <c r="F6" s="688"/>
      <c r="G6" s="688"/>
      <c r="H6" s="689"/>
    </row>
    <row r="7" spans="1:9" ht="49.5" customHeight="1" x14ac:dyDescent="0.25">
      <c r="A7" s="694" t="s">
        <v>2</v>
      </c>
      <c r="B7" s="695"/>
      <c r="C7" s="105" t="s">
        <v>4</v>
      </c>
      <c r="D7" s="105" t="s">
        <v>5</v>
      </c>
      <c r="E7" s="105" t="s">
        <v>6</v>
      </c>
      <c r="F7" s="117" t="s">
        <v>154</v>
      </c>
      <c r="G7" s="1"/>
      <c r="H7" s="94"/>
    </row>
    <row r="8" spans="1:9" ht="21.75" customHeight="1" x14ac:dyDescent="0.25">
      <c r="A8" s="698" t="s">
        <v>11</v>
      </c>
      <c r="B8" s="220" t="s">
        <v>160</v>
      </c>
      <c r="C8" s="11">
        <v>4289.8986277717058</v>
      </c>
      <c r="D8" s="11">
        <v>11941.655382347013</v>
      </c>
      <c r="E8" s="11">
        <f>C8+D8</f>
        <v>16231.554010118718</v>
      </c>
      <c r="F8" s="115">
        <f>VLOOKUP($C$4,Tablo!$B:$F,5,0)</f>
        <v>12888.24</v>
      </c>
      <c r="G8" s="98"/>
      <c r="H8" s="95"/>
    </row>
    <row r="9" spans="1:9" ht="21.75" customHeight="1" x14ac:dyDescent="0.25">
      <c r="A9" s="699"/>
      <c r="B9" s="221" t="s">
        <v>162</v>
      </c>
      <c r="C9" s="11">
        <v>4289.8986277717058</v>
      </c>
      <c r="D9" s="11">
        <v>11941.655382347013</v>
      </c>
      <c r="E9" s="11">
        <v>16231.554010118718</v>
      </c>
      <c r="F9" s="115">
        <f>VLOOKUP($C$4,Tablo!B:G,6,0)</f>
        <v>7156.08</v>
      </c>
      <c r="G9" s="98"/>
      <c r="H9" s="95"/>
    </row>
    <row r="10" spans="1:9" ht="21.75" customHeight="1" x14ac:dyDescent="0.25">
      <c r="A10" s="699"/>
      <c r="B10" s="91" t="s">
        <v>13</v>
      </c>
      <c r="C10" s="11">
        <v>4338.1942847146329</v>
      </c>
      <c r="D10" s="11">
        <v>8637.2648112671013</v>
      </c>
      <c r="E10" s="11">
        <f t="shared" ref="E10:E34" si="0">C10+D10</f>
        <v>12975.459095981734</v>
      </c>
      <c r="F10" s="115">
        <f>VLOOKUP($C$4,Tablo!$B:$AM,7,0)</f>
        <v>10556.64</v>
      </c>
      <c r="G10" s="98"/>
      <c r="H10" s="95"/>
    </row>
    <row r="11" spans="1:9" ht="21.75" customHeight="1" x14ac:dyDescent="0.25">
      <c r="A11" s="699"/>
      <c r="B11" s="220" t="s">
        <v>161</v>
      </c>
      <c r="C11" s="11">
        <v>4386.489941657559</v>
      </c>
      <c r="D11" s="11">
        <v>6415.3452401871882</v>
      </c>
      <c r="E11" s="11">
        <f t="shared" si="0"/>
        <v>10801.835181844748</v>
      </c>
      <c r="F11" s="115">
        <f>VLOOKUP($C$4,Tablo!$B:$AM,8,0)</f>
        <v>9004.7999999999993</v>
      </c>
      <c r="G11" s="98"/>
      <c r="H11" s="95"/>
    </row>
    <row r="12" spans="1:9" ht="21.75" customHeight="1" x14ac:dyDescent="0.25">
      <c r="A12" s="700"/>
      <c r="B12" s="221" t="s">
        <v>163</v>
      </c>
      <c r="C12" s="11">
        <v>4386.489941657559</v>
      </c>
      <c r="D12" s="11">
        <v>6415.3452401871882</v>
      </c>
      <c r="E12" s="11">
        <v>10801.835181844748</v>
      </c>
      <c r="F12" s="115">
        <f>VLOOKUP($C$4,Tablo!$B:$J,9,0)</f>
        <v>5925.6</v>
      </c>
      <c r="G12" s="98"/>
      <c r="H12" s="95"/>
    </row>
    <row r="13" spans="1:9" ht="21.75" customHeight="1" x14ac:dyDescent="0.25">
      <c r="A13" s="690" t="s">
        <v>15</v>
      </c>
      <c r="B13" s="220" t="s">
        <v>12</v>
      </c>
      <c r="C13" s="11">
        <v>3156.3831833272616</v>
      </c>
      <c r="D13" s="11">
        <v>13075.170826791458</v>
      </c>
      <c r="E13" s="11">
        <f t="shared" si="0"/>
        <v>16231.55401011872</v>
      </c>
      <c r="F13" s="115">
        <f>VLOOKUP($C$4,Tablo!B:K,10,0)</f>
        <v>12570</v>
      </c>
      <c r="G13" s="98"/>
      <c r="H13" s="95"/>
    </row>
    <row r="14" spans="1:9" ht="21.75" customHeight="1" x14ac:dyDescent="0.25">
      <c r="A14" s="690"/>
      <c r="B14" s="221" t="s">
        <v>162</v>
      </c>
      <c r="C14" s="11">
        <v>3156.3831833272616</v>
      </c>
      <c r="D14" s="11">
        <v>13075.170826791458</v>
      </c>
      <c r="E14" s="11">
        <v>16231.55401011872</v>
      </c>
      <c r="F14" s="115">
        <f>VLOOKUP($C$4,Tablo!B:L,11,0)</f>
        <v>6294</v>
      </c>
      <c r="G14" s="98"/>
      <c r="H14" s="95"/>
    </row>
    <row r="15" spans="1:9" ht="21.75" customHeight="1" x14ac:dyDescent="0.25">
      <c r="A15" s="690"/>
      <c r="B15" s="91" t="s">
        <v>13</v>
      </c>
      <c r="C15" s="11">
        <v>3191.9177291590768</v>
      </c>
      <c r="D15" s="11">
        <v>9783.5413668226574</v>
      </c>
      <c r="E15" s="11">
        <f t="shared" si="0"/>
        <v>12975.459095981734</v>
      </c>
      <c r="F15" s="115">
        <f>VLOOKUP($C$4,Tablo!B:M,12,0)</f>
        <v>10236.48</v>
      </c>
      <c r="G15" s="98"/>
      <c r="H15" s="95"/>
    </row>
    <row r="16" spans="1:9" ht="21.75" customHeight="1" x14ac:dyDescent="0.25">
      <c r="A16" s="690"/>
      <c r="B16" s="220" t="s">
        <v>161</v>
      </c>
      <c r="C16" s="11">
        <v>3251.1419722121027</v>
      </c>
      <c r="D16" s="11">
        <v>6462.434266874654</v>
      </c>
      <c r="E16" s="11">
        <f>C16+D16</f>
        <v>9713.5762390867567</v>
      </c>
      <c r="F16" s="115">
        <f>VLOOKUP($C$4,Tablo!B:N,13,0)</f>
        <v>7903.6399999999994</v>
      </c>
      <c r="G16" s="98"/>
      <c r="H16" s="95"/>
    </row>
    <row r="17" spans="1:10" ht="21.75" customHeight="1" x14ac:dyDescent="0.25">
      <c r="A17" s="690"/>
      <c r="B17" s="222" t="s">
        <v>163</v>
      </c>
      <c r="C17" s="11">
        <v>3251.1419722121027</v>
      </c>
      <c r="D17" s="11">
        <v>6462.434266874654</v>
      </c>
      <c r="E17" s="11">
        <f>C17+D17</f>
        <v>9713.5762390867567</v>
      </c>
      <c r="F17" s="115">
        <f>VLOOKUP($C$4,Tablo!B:O,14,0)</f>
        <v>5112.0559999999996</v>
      </c>
      <c r="G17" s="98"/>
      <c r="H17" s="95"/>
      <c r="I17" s="66"/>
    </row>
    <row r="18" spans="1:10" ht="21.75" customHeight="1" x14ac:dyDescent="0.25">
      <c r="A18" s="696" t="s">
        <v>16</v>
      </c>
      <c r="B18" s="697"/>
      <c r="C18" s="11">
        <v>2262.1368823619159</v>
      </c>
      <c r="D18" s="11">
        <v>2700.4971714475387</v>
      </c>
      <c r="E18" s="11">
        <f>C18+D18</f>
        <v>4962.6340538094546</v>
      </c>
      <c r="F18" s="115">
        <f>VLOOKUP($C$4,Tablo!B:P,15,0)</f>
        <v>3817.2</v>
      </c>
      <c r="G18" s="98"/>
      <c r="H18" s="95"/>
    </row>
    <row r="19" spans="1:10" ht="21.75" customHeight="1" thickBot="1" x14ac:dyDescent="0.3">
      <c r="A19" s="692" t="s">
        <v>17</v>
      </c>
      <c r="B19" s="693"/>
      <c r="C19" s="96">
        <v>1102.6869233085536</v>
      </c>
      <c r="D19" s="96">
        <v>1145.4037853333332</v>
      </c>
      <c r="E19" s="96">
        <f>C19+D19</f>
        <v>2248.0907086418865</v>
      </c>
      <c r="F19" s="116">
        <f>VLOOKUP($C$4,Tablo!B:Q,16,0)</f>
        <v>1762.52</v>
      </c>
      <c r="G19" s="101"/>
      <c r="H19" s="97"/>
    </row>
    <row r="20" spans="1:10" ht="15.75" x14ac:dyDescent="0.25">
      <c r="A20" s="112"/>
      <c r="B20" s="92"/>
      <c r="C20" s="17"/>
      <c r="D20" s="17"/>
      <c r="E20" s="17"/>
      <c r="F20" s="1"/>
      <c r="G20" s="18"/>
      <c r="H20" s="113"/>
      <c r="I20" s="17"/>
      <c r="J20" s="1"/>
    </row>
    <row r="21" spans="1:10" ht="16.5" thickBot="1" x14ac:dyDescent="0.3">
      <c r="A21" s="112"/>
      <c r="B21" s="92"/>
      <c r="C21" s="17"/>
      <c r="D21" s="17"/>
      <c r="E21" s="17"/>
      <c r="F21" s="1"/>
      <c r="G21" s="18"/>
      <c r="H21" s="113"/>
      <c r="I21" s="17"/>
      <c r="J21" s="1"/>
    </row>
    <row r="22" spans="1:10" ht="21" customHeight="1" thickBot="1" x14ac:dyDescent="0.3">
      <c r="A22" s="687" t="s">
        <v>27</v>
      </c>
      <c r="B22" s="688"/>
      <c r="C22" s="688"/>
      <c r="D22" s="688"/>
      <c r="E22" s="688"/>
      <c r="F22" s="688"/>
      <c r="G22" s="688"/>
      <c r="H22" s="689"/>
    </row>
    <row r="23" spans="1:10" s="90" customFormat="1" ht="35.25" customHeight="1" x14ac:dyDescent="0.25">
      <c r="A23" s="103"/>
      <c r="B23" s="104"/>
      <c r="C23" s="106" t="s">
        <v>4</v>
      </c>
      <c r="D23" s="106" t="s">
        <v>5</v>
      </c>
      <c r="E23" s="106" t="s">
        <v>6</v>
      </c>
      <c r="F23" s="114" t="s">
        <v>143</v>
      </c>
      <c r="G23" s="114" t="s">
        <v>149</v>
      </c>
      <c r="H23" s="107" t="s">
        <v>148</v>
      </c>
    </row>
    <row r="24" spans="1:10" ht="18.75" customHeight="1" x14ac:dyDescent="0.25">
      <c r="A24" s="690" t="s">
        <v>28</v>
      </c>
      <c r="B24" s="91" t="s">
        <v>12</v>
      </c>
      <c r="C24" s="11">
        <v>3156.3831833272616</v>
      </c>
      <c r="D24" s="11">
        <v>13075.170826791458</v>
      </c>
      <c r="E24" s="11">
        <f t="shared" si="0"/>
        <v>16231.55401011872</v>
      </c>
      <c r="F24" s="115">
        <f>VLOOKUP($C$4,Tablo!$B:$R,17,0)</f>
        <v>12570</v>
      </c>
      <c r="G24" s="115">
        <f>VLOOKUP($C$4,Tablo!$B:$AM,28,0)</f>
        <v>11785.5</v>
      </c>
      <c r="H24" s="99"/>
      <c r="I24" s="1"/>
    </row>
    <row r="25" spans="1:10" ht="18.75" customHeight="1" x14ac:dyDescent="0.25">
      <c r="A25" s="690"/>
      <c r="B25" s="91" t="s">
        <v>13</v>
      </c>
      <c r="C25" s="11">
        <v>3191.9177291590768</v>
      </c>
      <c r="D25" s="11">
        <v>9783.5413668226574</v>
      </c>
      <c r="E25" s="11">
        <f t="shared" si="0"/>
        <v>12975.459095981734</v>
      </c>
      <c r="F25" s="115">
        <f>VLOOKUP($C$4,Tablo!B:S,18,0)</f>
        <v>10236.48</v>
      </c>
      <c r="G25" s="115">
        <f>VLOOKUP($C$4,Tablo!$B:$AM,29,0)</f>
        <v>9649.44</v>
      </c>
      <c r="H25" s="99"/>
      <c r="I25" s="1"/>
    </row>
    <row r="26" spans="1:10" ht="18.75" customHeight="1" x14ac:dyDescent="0.25">
      <c r="A26" s="690"/>
      <c r="B26" s="220" t="s">
        <v>161</v>
      </c>
      <c r="C26" s="11">
        <v>3251.1419722121027</v>
      </c>
      <c r="D26" s="11">
        <v>6462.434266874654</v>
      </c>
      <c r="E26" s="11">
        <f>C26+D26</f>
        <v>9713.5762390867567</v>
      </c>
      <c r="F26" s="115">
        <f>VLOOKUP($C$4,Tablo!B:T,19,0)</f>
        <v>7903.6399999999994</v>
      </c>
      <c r="G26" s="115">
        <f>VLOOKUP($C$4,Tablo!$B:$AM,30,0)</f>
        <v>7515.92</v>
      </c>
      <c r="H26" s="99"/>
      <c r="I26" s="1"/>
    </row>
    <row r="27" spans="1:10" ht="18.75" customHeight="1" x14ac:dyDescent="0.25">
      <c r="A27" s="690"/>
      <c r="B27" s="221" t="s">
        <v>163</v>
      </c>
      <c r="C27" s="11">
        <v>3251.1419722121027</v>
      </c>
      <c r="D27" s="11">
        <v>6462.434266874654</v>
      </c>
      <c r="E27" s="11">
        <f>C27+D27</f>
        <v>9713.5762390867567</v>
      </c>
      <c r="F27" s="115">
        <f>VLOOKUP($C$4,Tablo!B:U,20,0)</f>
        <v>4801.88</v>
      </c>
      <c r="G27" s="115">
        <f>VLOOKUP($C$4,Tablo!$B:$AM,31,0)</f>
        <v>4672.6400000000003</v>
      </c>
      <c r="H27" s="99"/>
      <c r="I27" s="1"/>
    </row>
    <row r="28" spans="1:10" ht="18.75" customHeight="1" x14ac:dyDescent="0.25">
      <c r="A28" s="690" t="s">
        <v>29</v>
      </c>
      <c r="B28" s="91" t="s">
        <v>12</v>
      </c>
      <c r="C28" s="11">
        <v>3156.3831833272616</v>
      </c>
      <c r="D28" s="11">
        <v>13075.170826791458</v>
      </c>
      <c r="E28" s="11">
        <f t="shared" si="0"/>
        <v>16231.55401011872</v>
      </c>
      <c r="F28" s="115">
        <f>VLOOKUP($C$4,Tablo!B:V,21,0)</f>
        <v>12570</v>
      </c>
      <c r="G28" s="115">
        <f>VLOOKUP($C$4,Tablo!$B:$AM,32,0)</f>
        <v>11785.5</v>
      </c>
      <c r="H28" s="100">
        <v>13193</v>
      </c>
      <c r="I28" s="44"/>
    </row>
    <row r="29" spans="1:10" ht="18.75" customHeight="1" x14ac:dyDescent="0.25">
      <c r="A29" s="690"/>
      <c r="B29" s="91" t="s">
        <v>13</v>
      </c>
      <c r="C29" s="11">
        <v>3191.9177291590768</v>
      </c>
      <c r="D29" s="11">
        <v>9783.5413668226574</v>
      </c>
      <c r="E29" s="11">
        <f t="shared" si="0"/>
        <v>12975.459095981734</v>
      </c>
      <c r="F29" s="115">
        <f>VLOOKUP($C$4,Tablo!B:W,22,0)</f>
        <v>10236.48</v>
      </c>
      <c r="G29" s="115">
        <f>VLOOKUP($C$4,Tablo!$B:$AM,33,0)</f>
        <v>9649.44</v>
      </c>
      <c r="H29" s="100">
        <v>9100</v>
      </c>
      <c r="I29" s="1"/>
    </row>
    <row r="30" spans="1:10" ht="18.75" customHeight="1" x14ac:dyDescent="0.25">
      <c r="A30" s="690"/>
      <c r="B30" s="91" t="s">
        <v>30</v>
      </c>
      <c r="C30" s="11">
        <v>3318.8268214155605</v>
      </c>
      <c r="D30" s="11">
        <v>4213.2704383626515</v>
      </c>
      <c r="E30" s="11">
        <f t="shared" si="0"/>
        <v>7532.097259778212</v>
      </c>
      <c r="F30" s="115">
        <f>VLOOKUP($C$4,Tablo!B:X,23,0)</f>
        <v>6352.36</v>
      </c>
      <c r="G30" s="115">
        <f>VLOOKUP($C$4,Tablo!$B:$AM,34,0)</f>
        <v>6099.58</v>
      </c>
      <c r="H30" s="100">
        <v>6200</v>
      </c>
      <c r="I30" s="1"/>
    </row>
    <row r="31" spans="1:10" ht="18.75" customHeight="1" x14ac:dyDescent="0.25">
      <c r="A31" s="691" t="s">
        <v>31</v>
      </c>
      <c r="B31" s="93" t="s">
        <v>32</v>
      </c>
      <c r="C31" s="11">
        <v>3268.0631845129669</v>
      </c>
      <c r="D31" s="11">
        <v>5791.8962097466519</v>
      </c>
      <c r="E31" s="11">
        <f t="shared" si="0"/>
        <v>9059.9593942596184</v>
      </c>
      <c r="F31" s="115">
        <f>VLOOKUP($C$4,Tablo!B:Y,24,0)</f>
        <v>7438.24</v>
      </c>
      <c r="G31" s="115">
        <f>VLOOKUP($C$4,Tablo!$B:$AM,35,0)</f>
        <v>7090.7199999999993</v>
      </c>
      <c r="H31" s="100">
        <v>7700</v>
      </c>
    </row>
    <row r="32" spans="1:10" ht="18.75" customHeight="1" x14ac:dyDescent="0.25">
      <c r="A32" s="691"/>
      <c r="B32" s="93" t="s">
        <v>30</v>
      </c>
      <c r="C32" s="11">
        <v>3337.2863257437766</v>
      </c>
      <c r="D32" s="11">
        <v>3757.3124487684686</v>
      </c>
      <c r="E32" s="11">
        <f t="shared" si="0"/>
        <v>7094.5987745122457</v>
      </c>
      <c r="F32" s="115">
        <f>VLOOKUP($C$4,Tablo!B:Z,25,0)</f>
        <v>6042.04</v>
      </c>
      <c r="G32" s="115">
        <f>VLOOKUP($C$4,Tablo!$B:$AM,36,0)</f>
        <v>5816.62</v>
      </c>
      <c r="H32" s="100">
        <v>6300</v>
      </c>
    </row>
    <row r="33" spans="1:9" ht="18.75" customHeight="1" x14ac:dyDescent="0.25">
      <c r="A33" s="680" t="s">
        <v>33</v>
      </c>
      <c r="B33" s="681"/>
      <c r="C33" s="11">
        <v>2289.6963990901199</v>
      </c>
      <c r="D33" s="11">
        <v>2693.1311685185183</v>
      </c>
      <c r="E33" s="11">
        <f t="shared" si="0"/>
        <v>4982.8275676086378</v>
      </c>
      <c r="F33" s="115">
        <f>VLOOKUP($C$4,Tablo!B:AA,26,0)</f>
        <v>3970.4319999999998</v>
      </c>
      <c r="G33" s="115">
        <f>VLOOKUP($C$4,Tablo!$B:$AM,37,0)</f>
        <v>3830.3959999999997</v>
      </c>
      <c r="H33" s="100">
        <v>3700</v>
      </c>
    </row>
    <row r="34" spans="1:9" ht="18.75" customHeight="1" thickBot="1" x14ac:dyDescent="0.3">
      <c r="A34" s="682" t="s">
        <v>34</v>
      </c>
      <c r="B34" s="683"/>
      <c r="C34" s="96">
        <v>1724.2807846890123</v>
      </c>
      <c r="D34" s="96">
        <v>1668.1540113333333</v>
      </c>
      <c r="E34" s="96">
        <f t="shared" si="0"/>
        <v>3392.4347960223458</v>
      </c>
      <c r="F34" s="116">
        <f>VLOOKUP($C$4,Tablo!B:AB,27,0)</f>
        <v>2764.8320000000003</v>
      </c>
      <c r="G34" s="116">
        <f>VLOOKUP($C$4,Tablo!$B:$AM,38,0)</f>
        <v>2678.096</v>
      </c>
      <c r="H34" s="102">
        <v>2650</v>
      </c>
    </row>
    <row r="36" spans="1:9" ht="15.75" x14ac:dyDescent="0.25">
      <c r="A36" s="20" t="s">
        <v>152</v>
      </c>
      <c r="B36" s="21"/>
      <c r="C36" s="21"/>
      <c r="D36" s="22"/>
      <c r="E36" s="22"/>
      <c r="F36" s="21"/>
      <c r="G36" s="23"/>
      <c r="H36" s="25"/>
      <c r="I36" s="1"/>
    </row>
    <row r="37" spans="1:9" ht="15.75" x14ac:dyDescent="0.25">
      <c r="A37" s="84" t="s">
        <v>150</v>
      </c>
      <c r="B37" s="27"/>
      <c r="C37" s="27"/>
      <c r="D37" s="28"/>
      <c r="E37" s="28"/>
      <c r="F37" s="27"/>
      <c r="G37" s="29"/>
      <c r="H37" s="31"/>
      <c r="I37" s="1"/>
    </row>
    <row r="38" spans="1:9" ht="15.75" x14ac:dyDescent="0.25">
      <c r="A38" s="32" t="s">
        <v>144</v>
      </c>
      <c r="B38" s="27"/>
      <c r="C38" s="27"/>
      <c r="D38" s="28"/>
      <c r="E38" s="28"/>
      <c r="F38" s="27"/>
      <c r="G38" s="29"/>
      <c r="H38" s="31"/>
      <c r="I38" s="1"/>
    </row>
    <row r="39" spans="1:9" ht="15.75" x14ac:dyDescent="0.25">
      <c r="A39" s="32" t="s">
        <v>20</v>
      </c>
      <c r="B39" s="27"/>
      <c r="C39" s="27"/>
      <c r="D39" s="28"/>
      <c r="E39" s="28"/>
      <c r="F39" s="27"/>
      <c r="G39" s="29"/>
      <c r="H39" s="31"/>
      <c r="I39" s="1"/>
    </row>
    <row r="40" spans="1:9" ht="15.75" x14ac:dyDescent="0.25">
      <c r="A40" s="32" t="s">
        <v>21</v>
      </c>
      <c r="B40" s="27"/>
      <c r="C40" s="27"/>
      <c r="D40" s="28"/>
      <c r="E40" s="28"/>
      <c r="F40" s="27"/>
      <c r="G40" s="29"/>
      <c r="H40" s="31"/>
      <c r="I40" s="1"/>
    </row>
    <row r="41" spans="1:9" ht="15.75" x14ac:dyDescent="0.25">
      <c r="A41" s="84"/>
      <c r="B41" s="27"/>
      <c r="C41" s="27"/>
      <c r="D41" s="28"/>
      <c r="E41" s="28"/>
      <c r="F41" s="27"/>
      <c r="G41" s="29"/>
      <c r="H41" s="31"/>
      <c r="I41" s="1"/>
    </row>
    <row r="42" spans="1:9" ht="15.75" x14ac:dyDescent="0.25">
      <c r="A42" s="85" t="s">
        <v>22</v>
      </c>
      <c r="B42" s="27"/>
      <c r="C42" s="27"/>
      <c r="D42" s="28"/>
      <c r="E42" s="28"/>
      <c r="F42" s="27"/>
      <c r="G42" s="29"/>
      <c r="H42" s="31"/>
      <c r="I42" s="1"/>
    </row>
    <row r="43" spans="1:9" ht="15.75" x14ac:dyDescent="0.25">
      <c r="A43" s="86"/>
      <c r="B43" s="35"/>
      <c r="C43" s="35"/>
      <c r="D43" s="36"/>
      <c r="E43" s="36"/>
      <c r="F43" s="35"/>
      <c r="G43" s="37"/>
      <c r="H43" s="39"/>
      <c r="I43" s="1"/>
    </row>
    <row r="44" spans="1:9" ht="15.75" x14ac:dyDescent="0.25">
      <c r="A44" s="87" t="s">
        <v>151</v>
      </c>
      <c r="B44" s="27"/>
      <c r="C44" s="27"/>
      <c r="D44" s="28"/>
      <c r="E44" s="28"/>
      <c r="F44" s="27"/>
      <c r="G44" s="29"/>
      <c r="H44" s="31"/>
      <c r="I44" s="1"/>
    </row>
    <row r="45" spans="1:9" ht="15.75" x14ac:dyDescent="0.25">
      <c r="A45" s="56" t="s">
        <v>145</v>
      </c>
      <c r="B45" s="27"/>
      <c r="C45" s="27"/>
      <c r="D45" s="28"/>
      <c r="E45" s="28"/>
      <c r="F45" s="27"/>
      <c r="G45" s="29"/>
      <c r="H45" s="31"/>
      <c r="I45" s="1"/>
    </row>
    <row r="46" spans="1:9" ht="15.75" x14ac:dyDescent="0.25">
      <c r="A46" s="56" t="s">
        <v>35</v>
      </c>
      <c r="B46" s="27"/>
      <c r="C46" s="27"/>
      <c r="D46" s="28"/>
      <c r="E46" s="28"/>
      <c r="F46" s="27"/>
      <c r="G46" s="29"/>
      <c r="H46" s="31"/>
      <c r="I46" s="1"/>
    </row>
    <row r="47" spans="1:9" ht="15.75" x14ac:dyDescent="0.25">
      <c r="A47" s="56" t="s">
        <v>36</v>
      </c>
      <c r="B47" s="27"/>
      <c r="C47" s="27"/>
      <c r="D47" s="28"/>
      <c r="E47" s="28"/>
      <c r="F47" s="27"/>
      <c r="G47" s="29"/>
      <c r="H47" s="31"/>
      <c r="I47" s="1"/>
    </row>
    <row r="48" spans="1:9" ht="15.75" x14ac:dyDescent="0.25">
      <c r="A48" s="87"/>
      <c r="B48" s="27"/>
      <c r="C48" s="27"/>
      <c r="D48" s="28"/>
      <c r="E48" s="28"/>
      <c r="F48" s="27"/>
      <c r="G48" s="29"/>
      <c r="H48" s="31"/>
      <c r="I48" s="1"/>
    </row>
    <row r="49" spans="1:10" ht="15.75" x14ac:dyDescent="0.25">
      <c r="A49" s="88" t="s">
        <v>22</v>
      </c>
      <c r="B49" s="27"/>
      <c r="C49" s="27"/>
      <c r="D49" s="28"/>
      <c r="E49" s="28"/>
      <c r="F49" s="27"/>
      <c r="G49" s="29"/>
      <c r="H49" s="31"/>
      <c r="I49" s="1"/>
    </row>
    <row r="50" spans="1:10" ht="15.75" x14ac:dyDescent="0.25">
      <c r="A50" s="86"/>
      <c r="B50" s="35"/>
      <c r="C50" s="35"/>
      <c r="D50" s="36"/>
      <c r="E50" s="36"/>
      <c r="F50" s="35"/>
      <c r="G50" s="37"/>
      <c r="H50" s="39"/>
      <c r="I50" s="1"/>
    </row>
    <row r="51" spans="1:10" x14ac:dyDescent="0.25">
      <c r="J51" s="1"/>
    </row>
    <row r="52" spans="1:10" x14ac:dyDescent="0.25">
      <c r="J52" s="1"/>
    </row>
    <row r="53" spans="1:10" x14ac:dyDescent="0.25">
      <c r="J53" s="1"/>
    </row>
    <row r="54" spans="1:10" x14ac:dyDescent="0.25">
      <c r="J54" s="1"/>
    </row>
    <row r="55" spans="1:10" x14ac:dyDescent="0.25">
      <c r="J55" s="1"/>
    </row>
    <row r="56" spans="1:10" x14ac:dyDescent="0.25">
      <c r="J56" s="1"/>
    </row>
  </sheetData>
  <mergeCells count="13">
    <mergeCell ref="A33:B33"/>
    <mergeCell ref="A34:B34"/>
    <mergeCell ref="A1:H1"/>
    <mergeCell ref="A22:H22"/>
    <mergeCell ref="A24:A27"/>
    <mergeCell ref="A28:A30"/>
    <mergeCell ref="A31:A32"/>
    <mergeCell ref="A19:B19"/>
    <mergeCell ref="A6:H6"/>
    <mergeCell ref="A7:B7"/>
    <mergeCell ref="A13:A17"/>
    <mergeCell ref="A18:B18"/>
    <mergeCell ref="A8:A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F1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1</xdr:col>
                    <xdr:colOff>76200</xdr:colOff>
                    <xdr:row>3</xdr:row>
                    <xdr:rowOff>66675</xdr:rowOff>
                  </from>
                  <to>
                    <xdr:col>1</xdr:col>
                    <xdr:colOff>1447800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22" zoomScaleNormal="100" workbookViewId="0">
      <selection activeCell="H5" sqref="H5:J5"/>
    </sheetView>
  </sheetViews>
  <sheetFormatPr defaultRowHeight="15" x14ac:dyDescent="0.25"/>
  <cols>
    <col min="1" max="1" width="21.5703125" customWidth="1"/>
    <col min="2" max="2" width="29.140625" customWidth="1"/>
    <col min="3" max="13" width="23.140625" customWidth="1"/>
  </cols>
  <sheetData>
    <row r="1" spans="1:12" ht="26.25" x14ac:dyDescent="0.25">
      <c r="A1" s="653" t="s">
        <v>0</v>
      </c>
      <c r="B1" s="653"/>
      <c r="C1" s="653"/>
      <c r="D1" s="653"/>
      <c r="E1" s="653"/>
      <c r="F1" s="653"/>
      <c r="G1" s="653"/>
      <c r="H1" s="653"/>
      <c r="I1" s="653"/>
      <c r="J1" s="653"/>
      <c r="K1" s="1"/>
      <c r="L1" s="70"/>
    </row>
    <row r="2" spans="1:12" ht="2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70"/>
    </row>
    <row r="3" spans="1:12" ht="21" x14ac:dyDescent="0.25">
      <c r="A3" s="3" t="s">
        <v>1</v>
      </c>
      <c r="B3" s="4"/>
      <c r="C3" s="4"/>
      <c r="D3" s="4"/>
      <c r="E3" s="4"/>
      <c r="F3" s="4"/>
      <c r="G3" s="1"/>
      <c r="H3" s="1"/>
      <c r="I3" s="69"/>
      <c r="J3" s="1"/>
      <c r="K3" s="1"/>
      <c r="L3" s="70"/>
    </row>
    <row r="4" spans="1:12" ht="45" customHeight="1" x14ac:dyDescent="0.25">
      <c r="A4" s="654" t="s">
        <v>2</v>
      </c>
      <c r="B4" s="654"/>
      <c r="C4" s="5" t="s">
        <v>3</v>
      </c>
      <c r="D4" s="5" t="s">
        <v>4</v>
      </c>
      <c r="E4" s="5" t="s">
        <v>5</v>
      </c>
      <c r="F4" s="5" t="s">
        <v>6</v>
      </c>
      <c r="G4" s="6"/>
      <c r="H4" s="42" t="s">
        <v>157</v>
      </c>
      <c r="I4" s="8" t="s">
        <v>158</v>
      </c>
      <c r="J4" s="8" t="s">
        <v>159</v>
      </c>
      <c r="K4" s="1"/>
      <c r="L4" s="71" t="s">
        <v>37</v>
      </c>
    </row>
    <row r="5" spans="1:12" ht="15.75" x14ac:dyDescent="0.25">
      <c r="A5" s="67"/>
      <c r="B5" s="67"/>
      <c r="C5" s="5"/>
      <c r="D5" s="5"/>
      <c r="E5" s="5"/>
      <c r="F5" s="5"/>
      <c r="G5" s="6"/>
      <c r="H5" s="73">
        <v>1</v>
      </c>
      <c r="I5" s="73">
        <v>0.86</v>
      </c>
      <c r="J5" s="73">
        <v>0.93</v>
      </c>
      <c r="K5" s="1"/>
      <c r="L5" s="72"/>
    </row>
    <row r="6" spans="1:12" s="121" customFormat="1" ht="26.25" customHeight="1" x14ac:dyDescent="0.35">
      <c r="A6" s="703" t="s">
        <v>11</v>
      </c>
      <c r="B6" s="120" t="s">
        <v>12</v>
      </c>
      <c r="C6" s="143">
        <v>550</v>
      </c>
      <c r="D6" s="144">
        <v>4289.8986277717058</v>
      </c>
      <c r="E6" s="144">
        <v>11941.655382347013</v>
      </c>
      <c r="F6" s="144">
        <f>D6+E6</f>
        <v>16231.554010118718</v>
      </c>
      <c r="G6" s="145"/>
      <c r="H6" s="144">
        <f t="shared" ref="H6:H13" si="0">D6+E6*L6*$H$5</f>
        <v>13246.140164531964</v>
      </c>
      <c r="I6" s="144">
        <f t="shared" ref="I6:I13" si="1">D6+E6*$I$5*L6</f>
        <v>11992.266349385529</v>
      </c>
      <c r="J6" s="144">
        <f t="shared" ref="J6:J13" si="2">D6+E6*$J$5*L6</f>
        <v>12619.203256958746</v>
      </c>
      <c r="K6" s="146"/>
      <c r="L6" s="147">
        <v>0.75</v>
      </c>
    </row>
    <row r="7" spans="1:12" s="121" customFormat="1" ht="26.25" customHeight="1" x14ac:dyDescent="0.35">
      <c r="A7" s="703"/>
      <c r="B7" s="120" t="s">
        <v>13</v>
      </c>
      <c r="C7" s="143">
        <v>400</v>
      </c>
      <c r="D7" s="144">
        <v>4338.1942847146329</v>
      </c>
      <c r="E7" s="144">
        <v>8637.2648112671013</v>
      </c>
      <c r="F7" s="144">
        <f t="shared" ref="F7:F40" si="3">D7+E7</f>
        <v>12975.459095981734</v>
      </c>
      <c r="G7" s="145"/>
      <c r="H7" s="144">
        <f t="shared" si="0"/>
        <v>10816.142893164959</v>
      </c>
      <c r="I7" s="144">
        <f t="shared" si="1"/>
        <v>9909.2300879819122</v>
      </c>
      <c r="J7" s="144">
        <f t="shared" si="2"/>
        <v>10362.686490573436</v>
      </c>
      <c r="K7" s="146"/>
      <c r="L7" s="147">
        <v>0.75</v>
      </c>
    </row>
    <row r="8" spans="1:12" s="121" customFormat="1" ht="26.25" customHeight="1" x14ac:dyDescent="0.35">
      <c r="A8" s="703"/>
      <c r="B8" s="120" t="s">
        <v>14</v>
      </c>
      <c r="C8" s="143">
        <v>300</v>
      </c>
      <c r="D8" s="144">
        <v>4386.489941657559</v>
      </c>
      <c r="E8" s="144">
        <v>6415.3452401871882</v>
      </c>
      <c r="F8" s="144">
        <f t="shared" si="3"/>
        <v>10801.835181844748</v>
      </c>
      <c r="G8" s="145"/>
      <c r="H8" s="144">
        <f t="shared" si="0"/>
        <v>9197.9988717979504</v>
      </c>
      <c r="I8" s="144">
        <f t="shared" si="1"/>
        <v>8524.3876215782948</v>
      </c>
      <c r="J8" s="144">
        <f t="shared" si="2"/>
        <v>8861.1932466881226</v>
      </c>
      <c r="K8" s="146"/>
      <c r="L8" s="147">
        <v>0.75</v>
      </c>
    </row>
    <row r="9" spans="1:12" s="121" customFormat="1" ht="26.25" customHeight="1" x14ac:dyDescent="0.35">
      <c r="A9" s="703" t="s">
        <v>15</v>
      </c>
      <c r="B9" s="120" t="s">
        <v>12</v>
      </c>
      <c r="C9" s="143">
        <v>600</v>
      </c>
      <c r="D9" s="144">
        <v>3156.3831833272616</v>
      </c>
      <c r="E9" s="144">
        <v>13075.170826791458</v>
      </c>
      <c r="F9" s="144">
        <f t="shared" si="3"/>
        <v>16231.55401011872</v>
      </c>
      <c r="G9" s="145"/>
      <c r="H9" s="144">
        <f t="shared" si="0"/>
        <v>12962.761303420855</v>
      </c>
      <c r="I9" s="144">
        <f t="shared" si="1"/>
        <v>11589.868366607752</v>
      </c>
      <c r="J9" s="144">
        <f t="shared" si="2"/>
        <v>12276.314835014304</v>
      </c>
      <c r="K9" s="146"/>
      <c r="L9" s="147">
        <v>0.75</v>
      </c>
    </row>
    <row r="10" spans="1:12" s="121" customFormat="1" ht="26.25" customHeight="1" x14ac:dyDescent="0.35">
      <c r="A10" s="703"/>
      <c r="B10" s="120" t="s">
        <v>13</v>
      </c>
      <c r="C10" s="143">
        <v>450</v>
      </c>
      <c r="D10" s="144">
        <v>3191.9177291590768</v>
      </c>
      <c r="E10" s="144">
        <v>9783.5413668226574</v>
      </c>
      <c r="F10" s="144">
        <f t="shared" si="3"/>
        <v>12975.459095981734</v>
      </c>
      <c r="G10" s="145"/>
      <c r="H10" s="144">
        <f t="shared" si="0"/>
        <v>10529.573754276069</v>
      </c>
      <c r="I10" s="144">
        <f t="shared" si="1"/>
        <v>9502.3019107596901</v>
      </c>
      <c r="J10" s="144">
        <f t="shared" si="2"/>
        <v>10015.93783251788</v>
      </c>
      <c r="K10" s="146"/>
      <c r="L10" s="147">
        <v>0.75</v>
      </c>
    </row>
    <row r="11" spans="1:12" s="121" customFormat="1" ht="26.25" customHeight="1" x14ac:dyDescent="0.35">
      <c r="A11" s="703"/>
      <c r="B11" s="120" t="s">
        <v>14</v>
      </c>
      <c r="C11" s="143">
        <v>300</v>
      </c>
      <c r="D11" s="144">
        <v>3251.1419722121027</v>
      </c>
      <c r="E11" s="144">
        <v>6462.434266874654</v>
      </c>
      <c r="F11" s="144">
        <f t="shared" si="3"/>
        <v>9713.5762390867567</v>
      </c>
      <c r="G11" s="145"/>
      <c r="H11" s="144">
        <f t="shared" si="0"/>
        <v>8097.9676723680932</v>
      </c>
      <c r="I11" s="144">
        <f t="shared" si="1"/>
        <v>7419.4120743462545</v>
      </c>
      <c r="J11" s="144">
        <f t="shared" si="2"/>
        <v>7758.6898733571743</v>
      </c>
      <c r="K11" s="146"/>
      <c r="L11" s="147">
        <v>0.75</v>
      </c>
    </row>
    <row r="12" spans="1:12" s="121" customFormat="1" ht="26.25" customHeight="1" x14ac:dyDescent="0.35">
      <c r="A12" s="702" t="s">
        <v>16</v>
      </c>
      <c r="B12" s="702"/>
      <c r="C12" s="148">
        <v>125</v>
      </c>
      <c r="D12" s="144">
        <v>2262.1368823619159</v>
      </c>
      <c r="E12" s="144">
        <v>2700.4971714475387</v>
      </c>
      <c r="F12" s="144">
        <f>D12+E12</f>
        <v>4962.6340538094546</v>
      </c>
      <c r="G12" s="145"/>
      <c r="H12" s="144">
        <f t="shared" si="0"/>
        <v>3882.4351852304389</v>
      </c>
      <c r="I12" s="144">
        <f t="shared" si="1"/>
        <v>3655.5934228288461</v>
      </c>
      <c r="J12" s="144">
        <f t="shared" si="2"/>
        <v>3769.0143040296425</v>
      </c>
      <c r="K12" s="146"/>
      <c r="L12" s="147">
        <v>0.6</v>
      </c>
    </row>
    <row r="13" spans="1:12" s="121" customFormat="1" ht="26.25" customHeight="1" x14ac:dyDescent="0.35">
      <c r="A13" s="702" t="s">
        <v>17</v>
      </c>
      <c r="B13" s="702"/>
      <c r="C13" s="148">
        <v>50</v>
      </c>
      <c r="D13" s="144">
        <v>1102.6869233085536</v>
      </c>
      <c r="E13" s="144">
        <v>1145.4037853333332</v>
      </c>
      <c r="F13" s="144">
        <f>D13+E13</f>
        <v>2248.0907086418865</v>
      </c>
      <c r="G13" s="145"/>
      <c r="H13" s="144">
        <f t="shared" si="0"/>
        <v>1789.9291945085533</v>
      </c>
      <c r="I13" s="144">
        <f t="shared" si="1"/>
        <v>1693.7152765405535</v>
      </c>
      <c r="J13" s="144">
        <f t="shared" si="2"/>
        <v>1741.8222355245534</v>
      </c>
      <c r="K13" s="146"/>
      <c r="L13" s="147">
        <v>0.6</v>
      </c>
    </row>
    <row r="14" spans="1:12" ht="15.75" x14ac:dyDescent="0.25">
      <c r="A14" s="15"/>
      <c r="B14" s="15"/>
      <c r="C14" s="16"/>
      <c r="D14" s="17"/>
      <c r="E14" s="17"/>
      <c r="F14" s="17"/>
      <c r="G14" s="6"/>
      <c r="H14" s="18"/>
      <c r="I14" s="17"/>
      <c r="J14" s="17"/>
      <c r="K14" s="1"/>
      <c r="L14" s="72"/>
    </row>
    <row r="15" spans="1:12" s="130" customFormat="1" ht="24.75" customHeight="1" x14ac:dyDescent="0.35">
      <c r="A15" s="123" t="s">
        <v>152</v>
      </c>
      <c r="B15" s="124"/>
      <c r="C15" s="124"/>
      <c r="D15" s="125"/>
      <c r="E15" s="125"/>
      <c r="F15" s="124"/>
      <c r="G15" s="126"/>
      <c r="H15" s="126"/>
      <c r="I15" s="126"/>
      <c r="J15" s="127"/>
      <c r="K15" s="129"/>
      <c r="L15" s="128"/>
    </row>
    <row r="16" spans="1:12" s="130" customFormat="1" ht="24.75" customHeight="1" x14ac:dyDescent="0.35">
      <c r="A16" s="131" t="s">
        <v>150</v>
      </c>
      <c r="B16" s="132"/>
      <c r="C16" s="132"/>
      <c r="D16" s="133"/>
      <c r="E16" s="133"/>
      <c r="F16" s="132"/>
      <c r="G16" s="134"/>
      <c r="H16" s="134"/>
      <c r="I16" s="134"/>
      <c r="J16" s="135"/>
      <c r="K16" s="129"/>
      <c r="L16" s="128"/>
    </row>
    <row r="17" spans="1:12" s="130" customFormat="1" ht="24.75" customHeight="1" x14ac:dyDescent="0.35">
      <c r="A17" s="136" t="s">
        <v>144</v>
      </c>
      <c r="B17" s="132"/>
      <c r="C17" s="132"/>
      <c r="D17" s="133"/>
      <c r="E17" s="133"/>
      <c r="F17" s="132"/>
      <c r="G17" s="134"/>
      <c r="H17" s="134"/>
      <c r="I17" s="134"/>
      <c r="J17" s="135"/>
      <c r="K17" s="129"/>
      <c r="L17" s="128"/>
    </row>
    <row r="18" spans="1:12" s="130" customFormat="1" ht="24.75" customHeight="1" x14ac:dyDescent="0.35">
      <c r="A18" s="136" t="s">
        <v>20</v>
      </c>
      <c r="B18" s="132"/>
      <c r="C18" s="132"/>
      <c r="D18" s="133"/>
      <c r="E18" s="133"/>
      <c r="F18" s="132"/>
      <c r="G18" s="134"/>
      <c r="H18" s="134"/>
      <c r="I18" s="134"/>
      <c r="J18" s="135"/>
      <c r="K18" s="129"/>
      <c r="L18" s="128"/>
    </row>
    <row r="19" spans="1:12" s="130" customFormat="1" ht="24.75" customHeight="1" x14ac:dyDescent="0.35">
      <c r="A19" s="136" t="s">
        <v>21</v>
      </c>
      <c r="B19" s="132"/>
      <c r="C19" s="132"/>
      <c r="D19" s="133"/>
      <c r="E19" s="133"/>
      <c r="F19" s="132"/>
      <c r="G19" s="134"/>
      <c r="H19" s="134"/>
      <c r="I19" s="134"/>
      <c r="J19" s="135"/>
      <c r="K19" s="129"/>
      <c r="L19" s="128"/>
    </row>
    <row r="20" spans="1:12" s="130" customFormat="1" ht="24.75" customHeight="1" x14ac:dyDescent="0.35">
      <c r="A20" s="131"/>
      <c r="B20" s="132"/>
      <c r="C20" s="132"/>
      <c r="D20" s="133"/>
      <c r="E20" s="133"/>
      <c r="F20" s="132"/>
      <c r="G20" s="134"/>
      <c r="H20" s="134"/>
      <c r="I20" s="134"/>
      <c r="J20" s="135"/>
      <c r="K20" s="129"/>
      <c r="L20" s="128"/>
    </row>
    <row r="21" spans="1:12" s="130" customFormat="1" ht="24.75" customHeight="1" x14ac:dyDescent="0.35">
      <c r="A21" s="136" t="s">
        <v>22</v>
      </c>
      <c r="B21" s="132"/>
      <c r="C21" s="132"/>
      <c r="D21" s="133"/>
      <c r="E21" s="133"/>
      <c r="F21" s="132"/>
      <c r="G21" s="134"/>
      <c r="H21" s="134"/>
      <c r="I21" s="134"/>
      <c r="J21" s="135"/>
      <c r="K21" s="129"/>
      <c r="L21" s="128"/>
    </row>
    <row r="22" spans="1:12" s="130" customFormat="1" ht="24.75" customHeight="1" x14ac:dyDescent="0.35">
      <c r="A22" s="137"/>
      <c r="B22" s="138"/>
      <c r="C22" s="138"/>
      <c r="D22" s="139"/>
      <c r="E22" s="139"/>
      <c r="F22" s="138"/>
      <c r="G22" s="140"/>
      <c r="H22" s="140"/>
      <c r="I22" s="140"/>
      <c r="J22" s="141"/>
      <c r="K22" s="129"/>
      <c r="L22" s="128"/>
    </row>
    <row r="23" spans="1:12" ht="15.75" x14ac:dyDescent="0.25">
      <c r="A23" s="15"/>
      <c r="B23" s="15"/>
      <c r="C23" s="16"/>
      <c r="D23" s="17"/>
      <c r="E23" s="17"/>
      <c r="F23" s="17"/>
      <c r="G23" s="6"/>
      <c r="H23" s="6"/>
      <c r="I23" s="6"/>
      <c r="J23" s="6"/>
      <c r="K23" s="1"/>
      <c r="L23" s="72"/>
    </row>
    <row r="24" spans="1:12" ht="15.75" x14ac:dyDescent="0.25">
      <c r="A24" s="15"/>
      <c r="B24" s="15"/>
      <c r="C24" s="16"/>
      <c r="D24" s="17"/>
      <c r="E24" s="17"/>
      <c r="F24" s="17"/>
      <c r="G24" s="6"/>
      <c r="H24" s="6"/>
      <c r="I24" s="6"/>
      <c r="J24" s="6"/>
      <c r="K24" s="6"/>
      <c r="L24" s="72"/>
    </row>
    <row r="25" spans="1:12" ht="15.75" x14ac:dyDescent="0.25">
      <c r="A25" s="15"/>
      <c r="B25" s="15"/>
      <c r="C25" s="16"/>
      <c r="D25" s="17"/>
      <c r="E25" s="17"/>
      <c r="F25" s="17"/>
      <c r="G25" s="6"/>
      <c r="H25" s="6"/>
      <c r="I25" s="6"/>
      <c r="J25" s="6"/>
      <c r="K25" s="6"/>
      <c r="L25" s="72"/>
    </row>
    <row r="26" spans="1:12" ht="15.75" x14ac:dyDescent="0.25">
      <c r="A26" s="15"/>
      <c r="B26" s="15"/>
      <c r="C26" s="16"/>
      <c r="D26" s="17"/>
      <c r="E26" s="17"/>
      <c r="F26" s="17"/>
      <c r="G26" s="6"/>
      <c r="H26" s="6"/>
      <c r="I26" s="6"/>
      <c r="J26" s="6"/>
      <c r="K26" s="6"/>
      <c r="L26" s="72"/>
    </row>
    <row r="27" spans="1:12" ht="15.75" x14ac:dyDescent="0.25">
      <c r="A27" s="15"/>
      <c r="B27" s="15"/>
      <c r="C27" s="16"/>
      <c r="D27" s="17"/>
      <c r="E27" s="17"/>
      <c r="F27" s="17"/>
      <c r="G27" s="6"/>
      <c r="H27" s="1"/>
      <c r="I27" s="17"/>
      <c r="J27" s="17"/>
      <c r="K27" s="6"/>
      <c r="L27" s="72"/>
    </row>
    <row r="28" spans="1:12" ht="30.75" customHeight="1" x14ac:dyDescent="0.25">
      <c r="A28" s="3" t="s">
        <v>27</v>
      </c>
      <c r="B28" s="40"/>
      <c r="C28" s="41"/>
      <c r="D28" s="17"/>
      <c r="E28" s="17"/>
      <c r="F28" s="17"/>
      <c r="G28" s="6"/>
      <c r="H28" s="652" t="s">
        <v>143</v>
      </c>
      <c r="I28" s="652" t="s">
        <v>156</v>
      </c>
      <c r="J28" s="652" t="s">
        <v>155</v>
      </c>
      <c r="K28" s="652" t="s">
        <v>26</v>
      </c>
      <c r="L28" s="670" t="s">
        <v>37</v>
      </c>
    </row>
    <row r="29" spans="1:12" ht="61.5" customHeight="1" x14ac:dyDescent="0.25">
      <c r="A29" s="654" t="s">
        <v>2</v>
      </c>
      <c r="B29" s="654"/>
      <c r="C29" s="5" t="s">
        <v>3</v>
      </c>
      <c r="D29" s="5" t="s">
        <v>4</v>
      </c>
      <c r="E29" s="5" t="s">
        <v>5</v>
      </c>
      <c r="F29" s="5" t="s">
        <v>6</v>
      </c>
      <c r="G29" s="1"/>
      <c r="H29" s="652"/>
      <c r="I29" s="652"/>
      <c r="J29" s="652"/>
      <c r="K29" s="652"/>
      <c r="L29" s="671"/>
    </row>
    <row r="30" spans="1:12" ht="15.75" x14ac:dyDescent="0.25">
      <c r="A30" s="118"/>
      <c r="B30" s="118"/>
      <c r="C30" s="5"/>
      <c r="D30" s="5"/>
      <c r="E30" s="5"/>
      <c r="F30" s="5"/>
      <c r="G30" s="1"/>
      <c r="H30" s="73">
        <v>0.98</v>
      </c>
      <c r="I30" s="73">
        <v>0.86</v>
      </c>
      <c r="J30" s="73">
        <v>0.94</v>
      </c>
      <c r="K30" s="73"/>
      <c r="L30" s="71"/>
    </row>
    <row r="31" spans="1:12" s="121" customFormat="1" ht="27.75" customHeight="1" x14ac:dyDescent="0.35">
      <c r="A31" s="703" t="s">
        <v>28</v>
      </c>
      <c r="B31" s="120" t="s">
        <v>12</v>
      </c>
      <c r="C31" s="143">
        <v>600</v>
      </c>
      <c r="D31" s="144">
        <v>3156.3831833272616</v>
      </c>
      <c r="E31" s="144">
        <v>13075.170826791458</v>
      </c>
      <c r="F31" s="144">
        <f t="shared" si="3"/>
        <v>16231.55401011872</v>
      </c>
      <c r="G31" s="145"/>
      <c r="H31" s="144">
        <f t="shared" ref="H31:H40" si="4">D31+E31*$H$30*L31</f>
        <v>12766.633741018983</v>
      </c>
      <c r="I31" s="144">
        <f t="shared" ref="I31:I40" si="5">D31+E31*$I$30*L31</f>
        <v>11589.868366607752</v>
      </c>
      <c r="J31" s="144">
        <f t="shared" ref="J31:J40" si="6">D31+E31*$J$30*L31</f>
        <v>12374.378616215239</v>
      </c>
      <c r="K31" s="149"/>
      <c r="L31" s="147">
        <v>0.75</v>
      </c>
    </row>
    <row r="32" spans="1:12" s="121" customFormat="1" ht="27.75" customHeight="1" x14ac:dyDescent="0.35">
      <c r="A32" s="703"/>
      <c r="B32" s="120" t="s">
        <v>13</v>
      </c>
      <c r="C32" s="143">
        <v>450</v>
      </c>
      <c r="D32" s="144">
        <v>3191.9177291590768</v>
      </c>
      <c r="E32" s="144">
        <v>9783.5413668226574</v>
      </c>
      <c r="F32" s="144">
        <f t="shared" si="3"/>
        <v>12975.459095981734</v>
      </c>
      <c r="G32" s="145"/>
      <c r="H32" s="144">
        <f t="shared" si="4"/>
        <v>10382.82063377373</v>
      </c>
      <c r="I32" s="144">
        <f t="shared" si="5"/>
        <v>9502.3019107596901</v>
      </c>
      <c r="J32" s="144">
        <f t="shared" si="6"/>
        <v>10089.314392769049</v>
      </c>
      <c r="K32" s="149"/>
      <c r="L32" s="147">
        <v>0.75</v>
      </c>
    </row>
    <row r="33" spans="1:12" s="121" customFormat="1" ht="27.75" customHeight="1" x14ac:dyDescent="0.35">
      <c r="A33" s="703"/>
      <c r="B33" s="120" t="s">
        <v>14</v>
      </c>
      <c r="C33" s="143">
        <v>300</v>
      </c>
      <c r="D33" s="144">
        <v>3251.1419722121027</v>
      </c>
      <c r="E33" s="144">
        <v>6462.434266874654</v>
      </c>
      <c r="F33" s="144">
        <f t="shared" si="3"/>
        <v>9713.5762390867567</v>
      </c>
      <c r="G33" s="145"/>
      <c r="H33" s="144">
        <f t="shared" si="4"/>
        <v>8001.0311583649736</v>
      </c>
      <c r="I33" s="144">
        <f t="shared" si="5"/>
        <v>7419.4120743462545</v>
      </c>
      <c r="J33" s="144">
        <f t="shared" si="6"/>
        <v>7807.1581303587336</v>
      </c>
      <c r="K33" s="149"/>
      <c r="L33" s="147">
        <v>0.75</v>
      </c>
    </row>
    <row r="34" spans="1:12" s="121" customFormat="1" ht="27.75" customHeight="1" x14ac:dyDescent="0.35">
      <c r="A34" s="703" t="s">
        <v>29</v>
      </c>
      <c r="B34" s="120" t="s">
        <v>12</v>
      </c>
      <c r="C34" s="143">
        <v>600</v>
      </c>
      <c r="D34" s="144">
        <v>3156.3831833272616</v>
      </c>
      <c r="E34" s="144">
        <v>13075.170826791458</v>
      </c>
      <c r="F34" s="144">
        <f t="shared" si="3"/>
        <v>16231.55401011872</v>
      </c>
      <c r="G34" s="145"/>
      <c r="H34" s="144">
        <f t="shared" si="4"/>
        <v>12766.633741018983</v>
      </c>
      <c r="I34" s="144">
        <f t="shared" si="5"/>
        <v>11589.868366607752</v>
      </c>
      <c r="J34" s="144">
        <f t="shared" si="6"/>
        <v>12374.378616215239</v>
      </c>
      <c r="K34" s="150">
        <v>13193</v>
      </c>
      <c r="L34" s="147">
        <v>0.75</v>
      </c>
    </row>
    <row r="35" spans="1:12" s="121" customFormat="1" ht="27.75" customHeight="1" x14ac:dyDescent="0.35">
      <c r="A35" s="703"/>
      <c r="B35" s="120" t="s">
        <v>13</v>
      </c>
      <c r="C35" s="143">
        <v>450</v>
      </c>
      <c r="D35" s="144">
        <v>3191.9177291590768</v>
      </c>
      <c r="E35" s="144">
        <v>9783.5413668226574</v>
      </c>
      <c r="F35" s="144">
        <f t="shared" si="3"/>
        <v>12975.459095981734</v>
      </c>
      <c r="G35" s="145"/>
      <c r="H35" s="144">
        <f t="shared" si="4"/>
        <v>10382.82063377373</v>
      </c>
      <c r="I35" s="144">
        <f t="shared" si="5"/>
        <v>9502.3019107596901</v>
      </c>
      <c r="J35" s="144">
        <f t="shared" si="6"/>
        <v>10089.314392769049</v>
      </c>
      <c r="K35" s="150">
        <v>9100</v>
      </c>
      <c r="L35" s="147">
        <v>0.75</v>
      </c>
    </row>
    <row r="36" spans="1:12" s="121" customFormat="1" ht="27.75" customHeight="1" x14ac:dyDescent="0.35">
      <c r="A36" s="703"/>
      <c r="B36" s="120" t="s">
        <v>30</v>
      </c>
      <c r="C36" s="143">
        <v>200</v>
      </c>
      <c r="D36" s="144">
        <v>3318.8268214155605</v>
      </c>
      <c r="E36" s="144">
        <v>4213.2704383626515</v>
      </c>
      <c r="F36" s="144">
        <f t="shared" si="3"/>
        <v>7532.097259778212</v>
      </c>
      <c r="G36" s="145"/>
      <c r="H36" s="144">
        <f t="shared" si="4"/>
        <v>6415.5805936121096</v>
      </c>
      <c r="I36" s="144">
        <f t="shared" si="5"/>
        <v>6036.3862541594708</v>
      </c>
      <c r="J36" s="144">
        <f t="shared" si="6"/>
        <v>6289.1824804612297</v>
      </c>
      <c r="K36" s="150">
        <v>6200</v>
      </c>
      <c r="L36" s="147">
        <v>0.75</v>
      </c>
    </row>
    <row r="37" spans="1:12" s="121" customFormat="1" ht="27.75" customHeight="1" x14ac:dyDescent="0.35">
      <c r="A37" s="701" t="s">
        <v>31</v>
      </c>
      <c r="B37" s="122" t="s">
        <v>32</v>
      </c>
      <c r="C37" s="151">
        <v>270</v>
      </c>
      <c r="D37" s="144">
        <v>3268.0631845129669</v>
      </c>
      <c r="E37" s="144">
        <v>5791.8962097466519</v>
      </c>
      <c r="F37" s="144">
        <f t="shared" si="3"/>
        <v>9059.9593942596184</v>
      </c>
      <c r="G37" s="145"/>
      <c r="H37" s="144">
        <f t="shared" si="4"/>
        <v>7525.106898676755</v>
      </c>
      <c r="I37" s="144">
        <f t="shared" si="5"/>
        <v>7003.836239799557</v>
      </c>
      <c r="J37" s="144">
        <f t="shared" si="6"/>
        <v>7351.3500123843569</v>
      </c>
      <c r="K37" s="150">
        <v>7700</v>
      </c>
      <c r="L37" s="147">
        <v>0.75</v>
      </c>
    </row>
    <row r="38" spans="1:12" s="121" customFormat="1" ht="27.75" customHeight="1" x14ac:dyDescent="0.35">
      <c r="A38" s="701"/>
      <c r="B38" s="122" t="s">
        <v>30</v>
      </c>
      <c r="C38" s="151">
        <v>180</v>
      </c>
      <c r="D38" s="144">
        <v>3337.2863257437766</v>
      </c>
      <c r="E38" s="144">
        <v>3757.3124487684686</v>
      </c>
      <c r="F38" s="144">
        <f t="shared" si="3"/>
        <v>7094.5987745122457</v>
      </c>
      <c r="G38" s="145"/>
      <c r="H38" s="144">
        <f t="shared" si="4"/>
        <v>6098.9109755886011</v>
      </c>
      <c r="I38" s="144">
        <f t="shared" si="5"/>
        <v>5760.7528551994392</v>
      </c>
      <c r="J38" s="144">
        <f t="shared" si="6"/>
        <v>5986.1916021255474</v>
      </c>
      <c r="K38" s="150">
        <v>6300</v>
      </c>
      <c r="L38" s="147">
        <v>0.75</v>
      </c>
    </row>
    <row r="39" spans="1:12" s="121" customFormat="1" ht="27.75" customHeight="1" x14ac:dyDescent="0.35">
      <c r="A39" s="704" t="s">
        <v>33</v>
      </c>
      <c r="B39" s="704"/>
      <c r="C39" s="152">
        <v>125</v>
      </c>
      <c r="D39" s="144">
        <v>2289.6963990901199</v>
      </c>
      <c r="E39" s="144">
        <v>2693.1311685185183</v>
      </c>
      <c r="F39" s="144">
        <f t="shared" si="3"/>
        <v>4982.8275676086378</v>
      </c>
      <c r="G39" s="145"/>
      <c r="H39" s="144">
        <f t="shared" si="4"/>
        <v>4005.2209534364165</v>
      </c>
      <c r="I39" s="144">
        <f t="shared" si="5"/>
        <v>3795.1567222919716</v>
      </c>
      <c r="J39" s="144">
        <f t="shared" si="6"/>
        <v>3935.1995430549341</v>
      </c>
      <c r="K39" s="150">
        <v>3700</v>
      </c>
      <c r="L39" s="147">
        <v>0.65</v>
      </c>
    </row>
    <row r="40" spans="1:12" s="121" customFormat="1" ht="27.75" customHeight="1" x14ac:dyDescent="0.35">
      <c r="A40" s="701" t="s">
        <v>34</v>
      </c>
      <c r="B40" s="701"/>
      <c r="C40" s="151">
        <v>75</v>
      </c>
      <c r="D40" s="144">
        <v>1724.2807846890123</v>
      </c>
      <c r="E40" s="144">
        <v>1668.1540113333333</v>
      </c>
      <c r="F40" s="144">
        <f t="shared" si="3"/>
        <v>3392.4347960223458</v>
      </c>
      <c r="G40" s="145"/>
      <c r="H40" s="144">
        <f t="shared" si="4"/>
        <v>2786.8948899083457</v>
      </c>
      <c r="I40" s="144">
        <f t="shared" si="5"/>
        <v>2656.7788770243455</v>
      </c>
      <c r="J40" s="144">
        <f t="shared" si="6"/>
        <v>2743.5228856136791</v>
      </c>
      <c r="K40" s="150">
        <v>2650</v>
      </c>
      <c r="L40" s="147">
        <v>0.65</v>
      </c>
    </row>
    <row r="41" spans="1:12" x14ac:dyDescent="0.25">
      <c r="A41" s="6"/>
      <c r="B41" s="6"/>
      <c r="C41" s="64"/>
      <c r="D41" s="6"/>
      <c r="E41" s="6"/>
      <c r="F41" s="6"/>
      <c r="G41" s="6"/>
      <c r="H41" s="64"/>
      <c r="I41" s="6"/>
      <c r="J41" s="6"/>
      <c r="K41" s="6"/>
      <c r="L41" s="72"/>
    </row>
    <row r="42" spans="1:12" x14ac:dyDescent="0.25">
      <c r="A42" s="6"/>
      <c r="B42" s="6"/>
      <c r="C42" s="64"/>
      <c r="D42" s="6"/>
      <c r="E42" s="6"/>
      <c r="F42" s="6"/>
      <c r="G42" s="6"/>
      <c r="H42" s="64"/>
      <c r="I42" s="6"/>
      <c r="J42" s="6"/>
      <c r="K42" s="6"/>
      <c r="L42" s="72"/>
    </row>
    <row r="43" spans="1:12" s="130" customFormat="1" ht="21" customHeight="1" x14ac:dyDescent="0.35">
      <c r="A43" s="142" t="s">
        <v>151</v>
      </c>
      <c r="B43" s="124"/>
      <c r="C43" s="124"/>
      <c r="D43" s="125"/>
      <c r="E43" s="125"/>
      <c r="F43" s="124"/>
      <c r="G43" s="126"/>
      <c r="H43" s="126"/>
      <c r="I43" s="126"/>
      <c r="J43" s="126"/>
      <c r="K43" s="126"/>
      <c r="L43" s="127"/>
    </row>
    <row r="44" spans="1:12" s="130" customFormat="1" ht="21" customHeight="1" x14ac:dyDescent="0.35">
      <c r="A44" s="136" t="s">
        <v>145</v>
      </c>
      <c r="B44" s="132"/>
      <c r="C44" s="132"/>
      <c r="D44" s="133"/>
      <c r="E44" s="133"/>
      <c r="F44" s="132"/>
      <c r="G44" s="134"/>
      <c r="H44" s="134"/>
      <c r="I44" s="134"/>
      <c r="J44" s="134"/>
      <c r="K44" s="134"/>
      <c r="L44" s="135"/>
    </row>
    <row r="45" spans="1:12" s="130" customFormat="1" ht="21" customHeight="1" x14ac:dyDescent="0.35">
      <c r="A45" s="136" t="s">
        <v>35</v>
      </c>
      <c r="B45" s="132"/>
      <c r="C45" s="132"/>
      <c r="D45" s="133"/>
      <c r="E45" s="133"/>
      <c r="F45" s="132"/>
      <c r="G45" s="134"/>
      <c r="H45" s="134"/>
      <c r="I45" s="134"/>
      <c r="J45" s="134"/>
      <c r="K45" s="134"/>
      <c r="L45" s="135"/>
    </row>
    <row r="46" spans="1:12" s="130" customFormat="1" ht="21" customHeight="1" x14ac:dyDescent="0.35">
      <c r="A46" s="136" t="s">
        <v>36</v>
      </c>
      <c r="B46" s="132"/>
      <c r="C46" s="132"/>
      <c r="D46" s="133"/>
      <c r="E46" s="133"/>
      <c r="F46" s="132"/>
      <c r="G46" s="134"/>
      <c r="H46" s="134"/>
      <c r="I46" s="134"/>
      <c r="J46" s="134"/>
      <c r="K46" s="134"/>
      <c r="L46" s="135"/>
    </row>
    <row r="47" spans="1:12" s="130" customFormat="1" ht="21" customHeight="1" x14ac:dyDescent="0.35">
      <c r="A47" s="136"/>
      <c r="B47" s="132"/>
      <c r="C47" s="132"/>
      <c r="D47" s="133"/>
      <c r="E47" s="133"/>
      <c r="F47" s="132"/>
      <c r="G47" s="134"/>
      <c r="H47" s="134"/>
      <c r="I47" s="134"/>
      <c r="J47" s="134"/>
      <c r="K47" s="134"/>
      <c r="L47" s="135"/>
    </row>
    <row r="48" spans="1:12" s="130" customFormat="1" ht="21" customHeight="1" x14ac:dyDescent="0.35">
      <c r="A48" s="136" t="s">
        <v>22</v>
      </c>
      <c r="B48" s="132"/>
      <c r="C48" s="132"/>
      <c r="D48" s="133"/>
      <c r="E48" s="133"/>
      <c r="F48" s="132"/>
      <c r="G48" s="134"/>
      <c r="H48" s="134"/>
      <c r="I48" s="134"/>
      <c r="J48" s="134"/>
      <c r="K48" s="134"/>
      <c r="L48" s="135"/>
    </row>
    <row r="49" spans="1:12" s="130" customFormat="1" ht="21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1"/>
    </row>
    <row r="50" spans="1:12" s="72" customFormat="1" x14ac:dyDescent="0.25"/>
    <row r="51" spans="1:12" x14ac:dyDescent="0.25">
      <c r="I51" s="72"/>
      <c r="J51" s="72"/>
      <c r="K51" s="72"/>
      <c r="L51" s="72"/>
    </row>
    <row r="52" spans="1:12" x14ac:dyDescent="0.25">
      <c r="I52" s="72"/>
      <c r="J52" s="72"/>
      <c r="K52" s="72"/>
      <c r="L52" s="72"/>
    </row>
  </sheetData>
  <mergeCells count="17">
    <mergeCell ref="L28:L29"/>
    <mergeCell ref="A29:B29"/>
    <mergeCell ref="H28:H29"/>
    <mergeCell ref="I28:I29"/>
    <mergeCell ref="J28:J29"/>
    <mergeCell ref="K28:K29"/>
    <mergeCell ref="A1:J1"/>
    <mergeCell ref="A4:B4"/>
    <mergeCell ref="A6:A8"/>
    <mergeCell ref="A9:A11"/>
    <mergeCell ref="A12:B12"/>
    <mergeCell ref="A40:B40"/>
    <mergeCell ref="A13:B13"/>
    <mergeCell ref="A31:A33"/>
    <mergeCell ref="A34:A36"/>
    <mergeCell ref="A37:A38"/>
    <mergeCell ref="A39:B39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27" zoomScale="70" zoomScaleNormal="70" workbookViewId="0">
      <selection activeCell="E40" sqref="E40"/>
    </sheetView>
  </sheetViews>
  <sheetFormatPr defaultRowHeight="15" x14ac:dyDescent="0.25"/>
  <cols>
    <col min="1" max="1" width="21.5703125" style="202" customWidth="1"/>
    <col min="2" max="2" width="85.5703125" customWidth="1"/>
    <col min="3" max="8" width="23.140625" customWidth="1"/>
    <col min="9" max="9" width="26" customWidth="1"/>
    <col min="10" max="10" width="16.85546875" hidden="1" customWidth="1"/>
    <col min="11" max="11" width="24.140625" customWidth="1"/>
    <col min="12" max="13" width="23.140625" customWidth="1"/>
  </cols>
  <sheetData>
    <row r="1" spans="1:13" ht="50.25" customHeight="1" x14ac:dyDescent="0.25">
      <c r="A1" s="705" t="s">
        <v>153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</row>
    <row r="2" spans="1:13" ht="21" x14ac:dyDescent="0.25">
      <c r="A2" s="192"/>
      <c r="B2" s="2"/>
      <c r="C2" s="2"/>
      <c r="D2" s="2"/>
      <c r="E2" s="2"/>
      <c r="F2" s="2"/>
      <c r="G2" s="1"/>
      <c r="H2" s="1"/>
      <c r="I2" s="1"/>
      <c r="J2" s="1"/>
      <c r="K2" s="70"/>
    </row>
    <row r="3" spans="1:13" ht="21" hidden="1" x14ac:dyDescent="0.25">
      <c r="A3" s="193" t="s">
        <v>1</v>
      </c>
      <c r="B3" s="4"/>
      <c r="C3" s="4"/>
      <c r="D3" s="4"/>
      <c r="E3" s="4"/>
      <c r="F3" s="4"/>
      <c r="G3" s="1"/>
      <c r="H3" s="69"/>
      <c r="I3" s="1"/>
      <c r="J3" s="1"/>
      <c r="K3" s="70"/>
    </row>
    <row r="4" spans="1:13" ht="45" hidden="1" customHeight="1" x14ac:dyDescent="0.25">
      <c r="A4" s="659" t="s">
        <v>2</v>
      </c>
      <c r="B4" s="659"/>
      <c r="C4" s="216" t="s">
        <v>3</v>
      </c>
      <c r="D4" s="216" t="s">
        <v>4</v>
      </c>
      <c r="E4" s="216" t="s">
        <v>5</v>
      </c>
      <c r="F4" s="216" t="s">
        <v>175</v>
      </c>
      <c r="G4" s="217" t="s">
        <v>157</v>
      </c>
      <c r="H4" s="217" t="s">
        <v>158</v>
      </c>
      <c r="I4" s="217" t="s">
        <v>178</v>
      </c>
      <c r="J4" s="1"/>
      <c r="K4" s="71" t="s">
        <v>37</v>
      </c>
    </row>
    <row r="5" spans="1:13" ht="24" hidden="1" customHeight="1" x14ac:dyDescent="0.25">
      <c r="A5" s="194"/>
      <c r="B5" s="153"/>
      <c r="C5" s="5"/>
      <c r="D5" s="5"/>
      <c r="E5" s="5"/>
      <c r="F5" s="5"/>
      <c r="G5" s="73">
        <v>1</v>
      </c>
      <c r="H5" s="73">
        <v>0.86</v>
      </c>
      <c r="I5" s="73">
        <v>0.93</v>
      </c>
      <c r="J5" s="1"/>
      <c r="K5" s="72"/>
    </row>
    <row r="6" spans="1:13" s="121" customFormat="1" ht="26.25" hidden="1" customHeight="1" x14ac:dyDescent="0.35">
      <c r="A6" s="709" t="s">
        <v>11</v>
      </c>
      <c r="B6" s="213" t="s">
        <v>160</v>
      </c>
      <c r="C6" s="143">
        <v>550</v>
      </c>
      <c r="D6" s="144">
        <v>4289.8986277717058</v>
      </c>
      <c r="E6" s="144">
        <v>11941.655382347013</v>
      </c>
      <c r="F6" s="144">
        <f>D6+E6</f>
        <v>16231.554010118718</v>
      </c>
      <c r="G6" s="160">
        <f t="shared" ref="G6:G17" si="0">D6+E6*K6*$G$5</f>
        <v>13843.222933649318</v>
      </c>
      <c r="H6" s="160">
        <f t="shared" ref="H6:H17" si="1">D6+E6*$H$5*K6</f>
        <v>12505.75753082645</v>
      </c>
      <c r="I6" s="160">
        <f t="shared" ref="I6:I17" si="2">D6+E6*$I$5*K6</f>
        <v>13174.490232237884</v>
      </c>
      <c r="J6" s="146"/>
      <c r="K6" s="224">
        <v>0.8</v>
      </c>
      <c r="L6" s="154"/>
      <c r="M6" s="154"/>
    </row>
    <row r="7" spans="1:13" s="121" customFormat="1" ht="26.25" hidden="1" customHeight="1" x14ac:dyDescent="0.35">
      <c r="A7" s="710"/>
      <c r="B7" s="213" t="s">
        <v>162</v>
      </c>
      <c r="C7" s="143">
        <v>550</v>
      </c>
      <c r="D7" s="144">
        <v>4289.8986277717058</v>
      </c>
      <c r="E7" s="144">
        <v>11941.655382347013</v>
      </c>
      <c r="F7" s="144">
        <f>D7+E7</f>
        <v>16231.554010118718</v>
      </c>
      <c r="G7" s="160">
        <f t="shared" si="0"/>
        <v>7275.3124733584591</v>
      </c>
      <c r="H7" s="160">
        <f t="shared" si="1"/>
        <v>6857.3545349763135</v>
      </c>
      <c r="I7" s="160">
        <f t="shared" si="2"/>
        <v>7066.3335041673863</v>
      </c>
      <c r="J7" s="191"/>
      <c r="K7" s="224">
        <v>0.25</v>
      </c>
      <c r="L7" s="154"/>
      <c r="M7" s="154"/>
    </row>
    <row r="8" spans="1:13" s="121" customFormat="1" ht="26.25" hidden="1" customHeight="1" x14ac:dyDescent="0.35">
      <c r="A8" s="710"/>
      <c r="B8" s="213" t="s">
        <v>13</v>
      </c>
      <c r="C8" s="143">
        <v>400</v>
      </c>
      <c r="D8" s="144">
        <v>4338.1942847146329</v>
      </c>
      <c r="E8" s="144">
        <v>8637.2648112671013</v>
      </c>
      <c r="F8" s="144">
        <f t="shared" ref="F8:F52" si="3">D8+E8</f>
        <v>12975.459095981734</v>
      </c>
      <c r="G8" s="160">
        <f t="shared" si="0"/>
        <v>10816.142893164959</v>
      </c>
      <c r="H8" s="160">
        <f t="shared" si="1"/>
        <v>9909.2300879819122</v>
      </c>
      <c r="I8" s="160">
        <f t="shared" si="2"/>
        <v>10362.686490573436</v>
      </c>
      <c r="J8" s="146"/>
      <c r="K8" s="147">
        <v>0.75</v>
      </c>
      <c r="L8" s="154"/>
      <c r="M8" s="154"/>
    </row>
    <row r="9" spans="1:13" s="121" customFormat="1" ht="26.25" hidden="1" customHeight="1" x14ac:dyDescent="0.35">
      <c r="A9" s="710"/>
      <c r="B9" s="213" t="s">
        <v>161</v>
      </c>
      <c r="C9" s="143">
        <v>300</v>
      </c>
      <c r="D9" s="144">
        <v>4386.489941657559</v>
      </c>
      <c r="E9" s="144">
        <v>6415.3452401871882</v>
      </c>
      <c r="F9" s="144">
        <f t="shared" si="3"/>
        <v>10801.835181844748</v>
      </c>
      <c r="G9" s="160">
        <f t="shared" si="0"/>
        <v>9197.9988717979504</v>
      </c>
      <c r="H9" s="160">
        <f t="shared" si="1"/>
        <v>8524.3876215782948</v>
      </c>
      <c r="I9" s="160">
        <f t="shared" si="2"/>
        <v>8861.1932466881226</v>
      </c>
      <c r="J9" s="146"/>
      <c r="K9" s="147">
        <v>0.75</v>
      </c>
      <c r="L9" s="154"/>
      <c r="M9" s="154"/>
    </row>
    <row r="10" spans="1:13" s="121" customFormat="1" ht="26.25" hidden="1" customHeight="1" x14ac:dyDescent="0.35">
      <c r="A10" s="711"/>
      <c r="B10" s="213" t="s">
        <v>163</v>
      </c>
      <c r="C10" s="143">
        <v>300</v>
      </c>
      <c r="D10" s="144">
        <v>4386.489941657559</v>
      </c>
      <c r="E10" s="144">
        <v>6415.3452401871882</v>
      </c>
      <c r="F10" s="144">
        <f t="shared" ref="F10" si="4">D10+E10</f>
        <v>10801.835181844748</v>
      </c>
      <c r="G10" s="160">
        <f t="shared" si="0"/>
        <v>6631.8607757230748</v>
      </c>
      <c r="H10" s="160">
        <f t="shared" si="1"/>
        <v>6317.5088589539027</v>
      </c>
      <c r="I10" s="160">
        <f t="shared" si="2"/>
        <v>6474.6848173384888</v>
      </c>
      <c r="J10" s="146"/>
      <c r="K10" s="224">
        <v>0.35</v>
      </c>
      <c r="L10" s="154"/>
      <c r="M10" s="154"/>
    </row>
    <row r="11" spans="1:13" s="121" customFormat="1" ht="26.25" hidden="1" customHeight="1" x14ac:dyDescent="0.35">
      <c r="A11" s="675" t="s">
        <v>15</v>
      </c>
      <c r="B11" s="213" t="s">
        <v>12</v>
      </c>
      <c r="C11" s="143">
        <v>600</v>
      </c>
      <c r="D11" s="144">
        <v>3156.3831833272616</v>
      </c>
      <c r="E11" s="144">
        <v>13075.170826791458</v>
      </c>
      <c r="F11" s="144">
        <f t="shared" si="3"/>
        <v>16231.55401011872</v>
      </c>
      <c r="G11" s="160">
        <f t="shared" si="0"/>
        <v>12962.761303420855</v>
      </c>
      <c r="H11" s="160">
        <f t="shared" si="1"/>
        <v>11589.868366607752</v>
      </c>
      <c r="I11" s="160">
        <f t="shared" si="2"/>
        <v>12276.314835014304</v>
      </c>
      <c r="J11" s="146"/>
      <c r="K11" s="147">
        <v>0.75</v>
      </c>
      <c r="L11" s="154"/>
      <c r="M11" s="154"/>
    </row>
    <row r="12" spans="1:13" s="121" customFormat="1" ht="26.25" hidden="1" customHeight="1" x14ac:dyDescent="0.35">
      <c r="A12" s="675"/>
      <c r="B12" s="213" t="s">
        <v>162</v>
      </c>
      <c r="C12" s="143">
        <v>600</v>
      </c>
      <c r="D12" s="144">
        <v>3156.3831833272616</v>
      </c>
      <c r="E12" s="144">
        <v>13075.170826791458</v>
      </c>
      <c r="F12" s="144">
        <f t="shared" ref="F12" si="5">D12+E12</f>
        <v>16231.55401011872</v>
      </c>
      <c r="G12" s="160">
        <f t="shared" si="0"/>
        <v>7078.9344313646989</v>
      </c>
      <c r="H12" s="160">
        <f t="shared" si="1"/>
        <v>6529.7772566394578</v>
      </c>
      <c r="I12" s="160">
        <f t="shared" si="2"/>
        <v>6804.3558440020788</v>
      </c>
      <c r="J12" s="146"/>
      <c r="K12" s="224">
        <v>0.3</v>
      </c>
      <c r="L12" s="154"/>
      <c r="M12" s="154"/>
    </row>
    <row r="13" spans="1:13" s="121" customFormat="1" ht="26.25" hidden="1" customHeight="1" x14ac:dyDescent="0.35">
      <c r="A13" s="675"/>
      <c r="B13" s="213" t="s">
        <v>13</v>
      </c>
      <c r="C13" s="143">
        <v>450</v>
      </c>
      <c r="D13" s="144">
        <v>3191.9177291590768</v>
      </c>
      <c r="E13" s="144">
        <v>9783.5413668226574</v>
      </c>
      <c r="F13" s="144">
        <f t="shared" si="3"/>
        <v>12975.459095981734</v>
      </c>
      <c r="G13" s="160">
        <f t="shared" si="0"/>
        <v>10529.573754276069</v>
      </c>
      <c r="H13" s="160">
        <f t="shared" si="1"/>
        <v>9502.3019107596901</v>
      </c>
      <c r="I13" s="160">
        <f t="shared" si="2"/>
        <v>10015.93783251788</v>
      </c>
      <c r="J13" s="146"/>
      <c r="K13" s="147">
        <v>0.75</v>
      </c>
      <c r="L13" s="154"/>
      <c r="M13" s="154"/>
    </row>
    <row r="14" spans="1:13" s="121" customFormat="1" ht="26.25" hidden="1" customHeight="1" x14ac:dyDescent="0.35">
      <c r="A14" s="675"/>
      <c r="B14" s="213" t="s">
        <v>161</v>
      </c>
      <c r="C14" s="143">
        <v>300</v>
      </c>
      <c r="D14" s="144">
        <v>3251.1419722121027</v>
      </c>
      <c r="E14" s="144">
        <v>6462.434266874654</v>
      </c>
      <c r="F14" s="144">
        <f>D14+E14</f>
        <v>9713.5762390867567</v>
      </c>
      <c r="G14" s="160">
        <f t="shared" si="0"/>
        <v>8097.9676723680932</v>
      </c>
      <c r="H14" s="160">
        <f t="shared" si="1"/>
        <v>7419.4120743462545</v>
      </c>
      <c r="I14" s="160">
        <f t="shared" si="2"/>
        <v>7758.6898733571743</v>
      </c>
      <c r="J14" s="146"/>
      <c r="K14" s="147">
        <v>0.75</v>
      </c>
      <c r="L14" s="154"/>
      <c r="M14" s="154"/>
    </row>
    <row r="15" spans="1:13" s="121" customFormat="1" ht="26.25" hidden="1" customHeight="1" x14ac:dyDescent="0.3">
      <c r="A15" s="675"/>
      <c r="B15" s="213" t="s">
        <v>163</v>
      </c>
      <c r="C15" s="143">
        <v>300</v>
      </c>
      <c r="D15" s="144">
        <v>3251.1419722121027</v>
      </c>
      <c r="E15" s="144">
        <v>6462.434266874654</v>
      </c>
      <c r="F15" s="144">
        <f>D15+E15</f>
        <v>9713.5762390867567</v>
      </c>
      <c r="G15" s="160">
        <f t="shared" si="0"/>
        <v>5836.1156789619645</v>
      </c>
      <c r="H15" s="160">
        <f t="shared" si="1"/>
        <v>5474.219360016984</v>
      </c>
      <c r="I15" s="160">
        <f t="shared" si="2"/>
        <v>5655.1675194894742</v>
      </c>
      <c r="K15" s="224">
        <v>0.4</v>
      </c>
      <c r="L15" s="154"/>
      <c r="M15" s="154"/>
    </row>
    <row r="16" spans="1:13" s="121" customFormat="1" ht="26.25" hidden="1" customHeight="1" x14ac:dyDescent="0.35">
      <c r="A16" s="708" t="s">
        <v>172</v>
      </c>
      <c r="B16" s="708"/>
      <c r="C16" s="148">
        <v>125</v>
      </c>
      <c r="D16" s="144">
        <v>2262.1368823619159</v>
      </c>
      <c r="E16" s="144">
        <v>2700.4971714475387</v>
      </c>
      <c r="F16" s="144">
        <f>D16+E16</f>
        <v>4962.6340538094546</v>
      </c>
      <c r="G16" s="160">
        <f t="shared" si="0"/>
        <v>4017.460043802816</v>
      </c>
      <c r="H16" s="160">
        <f t="shared" si="1"/>
        <v>3771.7148012010903</v>
      </c>
      <c r="I16" s="160">
        <f t="shared" si="2"/>
        <v>3894.5874225019534</v>
      </c>
      <c r="J16" s="146"/>
      <c r="K16" s="147">
        <v>0.65</v>
      </c>
      <c r="L16" s="154"/>
      <c r="M16" s="154"/>
    </row>
    <row r="17" spans="1:13" s="121" customFormat="1" ht="26.25" hidden="1" customHeight="1" x14ac:dyDescent="0.35">
      <c r="A17" s="708" t="s">
        <v>171</v>
      </c>
      <c r="B17" s="708"/>
      <c r="C17" s="148">
        <v>50</v>
      </c>
      <c r="D17" s="144">
        <v>1102.6869233085536</v>
      </c>
      <c r="E17" s="144">
        <v>1145.4037853333332</v>
      </c>
      <c r="F17" s="144">
        <f>D17+E17</f>
        <v>2248.0907086418865</v>
      </c>
      <c r="G17" s="160">
        <f t="shared" si="0"/>
        <v>1847.1993837752202</v>
      </c>
      <c r="H17" s="160">
        <f t="shared" si="1"/>
        <v>1742.9676393098869</v>
      </c>
      <c r="I17" s="160">
        <f t="shared" si="2"/>
        <v>1795.0835115425537</v>
      </c>
      <c r="J17" s="146"/>
      <c r="K17" s="147">
        <v>0.65</v>
      </c>
      <c r="L17" s="154"/>
      <c r="M17" s="154"/>
    </row>
    <row r="18" spans="1:13" ht="10.5" hidden="1" customHeight="1" x14ac:dyDescent="0.25">
      <c r="A18" s="195"/>
      <c r="B18" s="15"/>
      <c r="C18" s="16"/>
      <c r="D18" s="17"/>
      <c r="E18" s="17"/>
      <c r="F18" s="17"/>
      <c r="G18" s="18"/>
      <c r="H18" s="17"/>
      <c r="I18" s="17"/>
      <c r="J18" s="1"/>
      <c r="K18" s="72"/>
    </row>
    <row r="19" spans="1:13" s="130" customFormat="1" ht="24.75" hidden="1" customHeight="1" x14ac:dyDescent="0.35">
      <c r="A19" s="196" t="s">
        <v>152</v>
      </c>
      <c r="B19" s="124"/>
      <c r="C19" s="124"/>
      <c r="D19" s="125"/>
      <c r="E19" s="125"/>
      <c r="F19" s="124"/>
      <c r="G19" s="126"/>
      <c r="H19" s="126"/>
      <c r="I19" s="127"/>
      <c r="J19" s="129"/>
      <c r="K19" s="128"/>
    </row>
    <row r="20" spans="1:13" s="130" customFormat="1" ht="24.75" hidden="1" customHeight="1" x14ac:dyDescent="0.35">
      <c r="A20" s="218" t="s">
        <v>150</v>
      </c>
      <c r="B20" s="132"/>
      <c r="C20" s="132"/>
      <c r="D20" s="133"/>
      <c r="E20" s="133"/>
      <c r="F20" s="132"/>
      <c r="G20" s="134"/>
      <c r="H20" s="134"/>
      <c r="I20" s="135"/>
      <c r="J20" s="129"/>
      <c r="K20" s="128"/>
    </row>
    <row r="21" spans="1:13" s="130" customFormat="1" ht="24.75" hidden="1" customHeight="1" x14ac:dyDescent="0.35">
      <c r="A21" s="219" t="s">
        <v>183</v>
      </c>
      <c r="B21" s="132"/>
      <c r="C21" s="132"/>
      <c r="D21" s="133"/>
      <c r="E21" s="133"/>
      <c r="F21" s="132"/>
      <c r="G21" s="134"/>
      <c r="H21" s="134"/>
      <c r="I21" s="135"/>
      <c r="J21" s="129"/>
      <c r="K21" s="128"/>
    </row>
    <row r="22" spans="1:13" s="130" customFormat="1" ht="24.75" hidden="1" customHeight="1" x14ac:dyDescent="0.35">
      <c r="A22" s="198" t="s">
        <v>20</v>
      </c>
      <c r="B22" s="132"/>
      <c r="C22" s="132"/>
      <c r="D22" s="133"/>
      <c r="E22" s="133"/>
      <c r="F22" s="132"/>
      <c r="G22" s="134"/>
      <c r="H22" s="134"/>
      <c r="I22" s="135"/>
      <c r="J22" s="129"/>
      <c r="K22" s="128"/>
    </row>
    <row r="23" spans="1:13" s="130" customFormat="1" ht="24.75" hidden="1" customHeight="1" x14ac:dyDescent="0.35">
      <c r="A23" s="198" t="s">
        <v>21</v>
      </c>
      <c r="B23" s="132"/>
      <c r="C23" s="132"/>
      <c r="D23" s="133"/>
      <c r="E23" s="133"/>
      <c r="F23" s="132"/>
      <c r="G23" s="134"/>
      <c r="H23" s="134"/>
      <c r="I23" s="135"/>
      <c r="J23" s="129"/>
      <c r="K23" s="128"/>
    </row>
    <row r="24" spans="1:13" s="130" customFormat="1" ht="11.25" hidden="1" customHeight="1" x14ac:dyDescent="0.35">
      <c r="A24" s="197"/>
      <c r="B24" s="132"/>
      <c r="C24" s="132"/>
      <c r="D24" s="133"/>
      <c r="E24" s="133"/>
      <c r="F24" s="132"/>
      <c r="G24" s="134"/>
      <c r="H24" s="134"/>
      <c r="I24" s="135"/>
      <c r="J24" s="129"/>
      <c r="K24" s="128"/>
    </row>
    <row r="25" spans="1:13" s="130" customFormat="1" ht="24.75" hidden="1" customHeight="1" x14ac:dyDescent="0.35">
      <c r="A25" s="198" t="s">
        <v>22</v>
      </c>
      <c r="B25" s="132"/>
      <c r="C25" s="132"/>
      <c r="D25" s="133"/>
      <c r="E25" s="133"/>
      <c r="F25" s="132"/>
      <c r="G25" s="134"/>
      <c r="H25" s="134"/>
      <c r="I25" s="135"/>
      <c r="J25" s="129"/>
      <c r="K25" s="128"/>
    </row>
    <row r="26" spans="1:13" s="130" customFormat="1" ht="11.25" hidden="1" customHeight="1" x14ac:dyDescent="0.35">
      <c r="A26" s="199"/>
      <c r="B26" s="138"/>
      <c r="C26" s="138"/>
      <c r="D26" s="139"/>
      <c r="E26" s="139"/>
      <c r="F26" s="138"/>
      <c r="G26" s="140"/>
      <c r="H26" s="140"/>
      <c r="I26" s="141"/>
      <c r="J26" s="129"/>
      <c r="K26" s="128"/>
    </row>
    <row r="27" spans="1:13" ht="15.75" x14ac:dyDescent="0.25">
      <c r="A27" s="195"/>
      <c r="B27" s="15"/>
      <c r="C27" s="16"/>
      <c r="D27" s="17"/>
      <c r="E27" s="17"/>
      <c r="F27" s="17"/>
      <c r="G27" s="6"/>
      <c r="H27" s="6"/>
      <c r="I27" s="6"/>
      <c r="J27" s="1"/>
      <c r="K27" s="72"/>
    </row>
    <row r="28" spans="1:13" ht="15.75" hidden="1" x14ac:dyDescent="0.25">
      <c r="A28" s="195"/>
      <c r="B28" s="15"/>
      <c r="C28" s="16"/>
      <c r="D28" s="17"/>
      <c r="E28" s="17"/>
      <c r="F28" s="17"/>
      <c r="G28" s="6"/>
      <c r="H28" s="6"/>
      <c r="I28" s="6"/>
      <c r="J28" s="6"/>
      <c r="K28" s="72"/>
    </row>
    <row r="29" spans="1:13" ht="15.75" hidden="1" x14ac:dyDescent="0.25">
      <c r="A29" s="195"/>
      <c r="B29" s="15"/>
      <c r="C29" s="16"/>
      <c r="D29" s="17"/>
      <c r="E29" s="17"/>
      <c r="F29" s="17"/>
      <c r="G29" s="6"/>
      <c r="H29" s="6"/>
      <c r="I29" s="6"/>
      <c r="J29" s="6"/>
      <c r="K29" s="72"/>
    </row>
    <row r="30" spans="1:13" ht="15.75" x14ac:dyDescent="0.25">
      <c r="A30" s="195"/>
      <c r="B30" s="15"/>
      <c r="C30" s="16"/>
      <c r="D30" s="17"/>
      <c r="E30" s="17"/>
      <c r="F30" s="17"/>
      <c r="G30" s="1"/>
      <c r="H30" s="17"/>
      <c r="I30" s="17"/>
      <c r="J30" s="6"/>
      <c r="K30" s="72"/>
    </row>
    <row r="31" spans="1:13" ht="30.75" customHeight="1" thickBot="1" x14ac:dyDescent="0.3">
      <c r="A31" s="245" t="s">
        <v>180</v>
      </c>
      <c r="B31" s="242"/>
      <c r="C31" s="243"/>
      <c r="D31" s="244"/>
      <c r="E31" s="244"/>
      <c r="F31" s="244"/>
    </row>
    <row r="32" spans="1:13" s="292" customFormat="1" ht="61.5" customHeight="1" x14ac:dyDescent="0.25">
      <c r="A32" s="706" t="s">
        <v>2</v>
      </c>
      <c r="B32" s="707"/>
      <c r="C32" s="297" t="s">
        <v>3</v>
      </c>
      <c r="D32" s="297" t="s">
        <v>4</v>
      </c>
      <c r="E32" s="297" t="s">
        <v>5</v>
      </c>
      <c r="F32" s="297" t="s">
        <v>176</v>
      </c>
      <c r="G32" s="298" t="s">
        <v>209</v>
      </c>
      <c r="H32" s="298" t="s">
        <v>210</v>
      </c>
      <c r="I32" s="298" t="s">
        <v>178</v>
      </c>
      <c r="J32" s="298" t="s">
        <v>148</v>
      </c>
      <c r="K32" s="298" t="s">
        <v>37</v>
      </c>
      <c r="L32" s="329" t="s">
        <v>206</v>
      </c>
      <c r="M32" s="328" t="s">
        <v>232</v>
      </c>
    </row>
    <row r="33" spans="1:13" ht="24" customHeight="1" x14ac:dyDescent="0.25">
      <c r="A33" s="300"/>
      <c r="B33" s="293"/>
      <c r="C33" s="294"/>
      <c r="D33" s="294"/>
      <c r="E33" s="294"/>
      <c r="F33" s="294"/>
      <c r="G33" s="295">
        <v>0.98</v>
      </c>
      <c r="H33" s="295">
        <v>0.86</v>
      </c>
      <c r="I33" s="295">
        <v>0.94</v>
      </c>
      <c r="J33" s="296"/>
      <c r="K33" s="280"/>
      <c r="L33" s="301"/>
      <c r="M33" s="330"/>
    </row>
    <row r="34" spans="1:13" s="121" customFormat="1" ht="44.25" customHeight="1" x14ac:dyDescent="0.3">
      <c r="A34" s="716" t="s">
        <v>28</v>
      </c>
      <c r="B34" s="282" t="s">
        <v>215</v>
      </c>
      <c r="C34" s="283">
        <v>600</v>
      </c>
      <c r="D34" s="238">
        <v>3156.3831833272616</v>
      </c>
      <c r="E34" s="238">
        <v>13075.170826791458</v>
      </c>
      <c r="F34" s="238">
        <f t="shared" si="3"/>
        <v>16231.55401011872</v>
      </c>
      <c r="G34" s="238">
        <f t="shared" ref="G34:G52" si="6">D34+E34*$G$33*K34</f>
        <v>12584.834758156287</v>
      </c>
      <c r="H34" s="238">
        <f t="shared" ref="H34:H52" si="7">D34+E34*$H$33*K34</f>
        <v>11430.330483687427</v>
      </c>
      <c r="I34" s="238">
        <f t="shared" ref="I34:I52" si="8">D34+E34*$I$33*K34</f>
        <v>12200</v>
      </c>
      <c r="J34" s="238"/>
      <c r="K34" s="285">
        <f>((M34-D34)/(F34-D34))/0.94</f>
        <v>0.73581210382304829</v>
      </c>
      <c r="L34" s="284">
        <v>12989</v>
      </c>
      <c r="M34" s="326">
        <v>12200</v>
      </c>
    </row>
    <row r="35" spans="1:13" s="121" customFormat="1" ht="44.25" customHeight="1" x14ac:dyDescent="0.3">
      <c r="A35" s="716"/>
      <c r="B35" s="228" t="s">
        <v>214</v>
      </c>
      <c r="C35" s="231">
        <v>600</v>
      </c>
      <c r="D35" s="234">
        <v>3156.3831833272616</v>
      </c>
      <c r="E35" s="234">
        <v>13075.170826791458</v>
      </c>
      <c r="F35" s="234">
        <f t="shared" ref="F35" si="9">D35+E35</f>
        <v>16231.55401011872</v>
      </c>
      <c r="G35" s="234">
        <f t="shared" si="6"/>
        <v>8206.1113539009675</v>
      </c>
      <c r="H35" s="234">
        <f t="shared" si="7"/>
        <v>7587.7772921980659</v>
      </c>
      <c r="I35" s="234">
        <f t="shared" si="8"/>
        <v>8000</v>
      </c>
      <c r="J35" s="234"/>
      <c r="K35" s="286">
        <f t="shared" ref="K35:K52" si="10">((M35-D35)/(F35-D35))/0.94</f>
        <v>0.39408921809005859</v>
      </c>
      <c r="L35" s="331">
        <v>8000</v>
      </c>
      <c r="M35" s="326">
        <v>8000</v>
      </c>
    </row>
    <row r="36" spans="1:13" s="121" customFormat="1" ht="44.25" customHeight="1" x14ac:dyDescent="0.3">
      <c r="A36" s="716"/>
      <c r="B36" s="282" t="s">
        <v>220</v>
      </c>
      <c r="C36" s="283">
        <v>600</v>
      </c>
      <c r="D36" s="238">
        <v>3156.3831833272616</v>
      </c>
      <c r="E36" s="238">
        <v>13075.170826791458</v>
      </c>
      <c r="F36" s="238">
        <v>16231.55401011872</v>
      </c>
      <c r="G36" s="238">
        <f t="shared" si="6"/>
        <v>7000.9198645392653</v>
      </c>
      <c r="H36" s="238">
        <f t="shared" si="7"/>
        <v>6530.1602709214694</v>
      </c>
      <c r="I36" s="238">
        <f t="shared" si="8"/>
        <v>6844</v>
      </c>
      <c r="J36" s="238"/>
      <c r="K36" s="285">
        <f t="shared" si="10"/>
        <v>0.30003406192164517</v>
      </c>
      <c r="L36" s="284">
        <v>6844</v>
      </c>
      <c r="M36" s="326">
        <v>6844</v>
      </c>
    </row>
    <row r="37" spans="1:13" s="121" customFormat="1" ht="44.25" customHeight="1" x14ac:dyDescent="0.3">
      <c r="A37" s="716"/>
      <c r="B37" s="228" t="s">
        <v>13</v>
      </c>
      <c r="C37" s="231">
        <v>450</v>
      </c>
      <c r="D37" s="234">
        <v>3191.9177291590768</v>
      </c>
      <c r="E37" s="234">
        <v>9783.5413668226574</v>
      </c>
      <c r="F37" s="234">
        <f t="shared" si="3"/>
        <v>12975.459095981734</v>
      </c>
      <c r="G37" s="234">
        <f t="shared" si="6"/>
        <v>9507.7907349294019</v>
      </c>
      <c r="H37" s="234">
        <f t="shared" si="7"/>
        <v>8734.4185301411981</v>
      </c>
      <c r="I37" s="234">
        <f t="shared" si="8"/>
        <v>9250</v>
      </c>
      <c r="J37" s="234"/>
      <c r="K37" s="286">
        <f t="shared" si="10"/>
        <v>0.65873574113869715</v>
      </c>
      <c r="L37" s="331">
        <v>10089</v>
      </c>
      <c r="M37" s="326">
        <v>9250</v>
      </c>
    </row>
    <row r="38" spans="1:13" s="121" customFormat="1" ht="44.25" customHeight="1" x14ac:dyDescent="0.3">
      <c r="A38" s="716"/>
      <c r="B38" s="282" t="s">
        <v>217</v>
      </c>
      <c r="C38" s="283">
        <v>300</v>
      </c>
      <c r="D38" s="238">
        <v>3251.1419722121027</v>
      </c>
      <c r="E38" s="238">
        <v>6462.434266874654</v>
      </c>
      <c r="F38" s="238">
        <f t="shared" ref="F38" si="11">D38+E38</f>
        <v>9713.5762390867567</v>
      </c>
      <c r="G38" s="238">
        <f t="shared" si="6"/>
        <v>7420.1641713952304</v>
      </c>
      <c r="H38" s="238">
        <f t="shared" si="7"/>
        <v>6909.6716572095411</v>
      </c>
      <c r="I38" s="238">
        <f t="shared" si="8"/>
        <v>7250</v>
      </c>
      <c r="J38" s="238"/>
      <c r="K38" s="285">
        <f t="shared" si="10"/>
        <v>0.6582820202422115</v>
      </c>
      <c r="L38" s="284">
        <v>7500</v>
      </c>
      <c r="M38" s="326">
        <v>7250</v>
      </c>
    </row>
    <row r="39" spans="1:13" s="121" customFormat="1" ht="44.25" customHeight="1" x14ac:dyDescent="0.3">
      <c r="A39" s="716"/>
      <c r="B39" s="228" t="s">
        <v>224</v>
      </c>
      <c r="C39" s="231">
        <v>300</v>
      </c>
      <c r="D39" s="234">
        <v>3251.1419722121027</v>
      </c>
      <c r="E39" s="234">
        <v>6462.434266874654</v>
      </c>
      <c r="F39" s="234">
        <f t="shared" si="3"/>
        <v>9713.5762390867567</v>
      </c>
      <c r="G39" s="234">
        <f t="shared" si="6"/>
        <v>5074.4194905441655</v>
      </c>
      <c r="H39" s="234">
        <f t="shared" si="7"/>
        <v>4851.1610189116682</v>
      </c>
      <c r="I39" s="234">
        <f t="shared" si="8"/>
        <v>5000</v>
      </c>
      <c r="J39" s="234"/>
      <c r="K39" s="286">
        <f t="shared" si="10"/>
        <v>0.28789264026106842</v>
      </c>
      <c r="L39" s="331">
        <v>5377</v>
      </c>
      <c r="M39" s="326">
        <v>5000</v>
      </c>
    </row>
    <row r="40" spans="1:13" s="121" customFormat="1" ht="44.25" customHeight="1" x14ac:dyDescent="0.3">
      <c r="A40" s="716" t="s">
        <v>29</v>
      </c>
      <c r="B40" s="282" t="s">
        <v>221</v>
      </c>
      <c r="C40" s="283">
        <v>600</v>
      </c>
      <c r="D40" s="238">
        <v>3156.3831833272616</v>
      </c>
      <c r="E40" s="238">
        <v>13075.170826791458</v>
      </c>
      <c r="F40" s="238">
        <f t="shared" si="3"/>
        <v>16231.55401011872</v>
      </c>
      <c r="G40" s="238">
        <f t="shared" si="6"/>
        <v>12584.834758156287</v>
      </c>
      <c r="H40" s="238">
        <f t="shared" si="7"/>
        <v>11430.330483687427</v>
      </c>
      <c r="I40" s="238">
        <f t="shared" si="8"/>
        <v>12200</v>
      </c>
      <c r="J40" s="238">
        <v>13193</v>
      </c>
      <c r="K40" s="285">
        <f t="shared" si="10"/>
        <v>0.73581210382304829</v>
      </c>
      <c r="L40" s="284">
        <v>12989</v>
      </c>
      <c r="M40" s="326">
        <v>12200</v>
      </c>
    </row>
    <row r="41" spans="1:13" s="121" customFormat="1" ht="44.25" customHeight="1" x14ac:dyDescent="0.3">
      <c r="A41" s="716"/>
      <c r="B41" s="228" t="s">
        <v>222</v>
      </c>
      <c r="C41" s="231">
        <v>600</v>
      </c>
      <c r="D41" s="234">
        <v>3156.3831833272616</v>
      </c>
      <c r="E41" s="234">
        <v>13075.170826791458</v>
      </c>
      <c r="F41" s="234">
        <f t="shared" ref="F41" si="12">D41+E41</f>
        <v>16231.55401011872</v>
      </c>
      <c r="G41" s="234">
        <f t="shared" si="6"/>
        <v>8206.1113539009675</v>
      </c>
      <c r="H41" s="234">
        <f t="shared" si="7"/>
        <v>7587.7772921980659</v>
      </c>
      <c r="I41" s="234">
        <f t="shared" si="8"/>
        <v>8000</v>
      </c>
      <c r="J41" s="234">
        <v>13193</v>
      </c>
      <c r="K41" s="286">
        <f t="shared" si="10"/>
        <v>0.39408921809005859</v>
      </c>
      <c r="L41" s="331">
        <v>8000</v>
      </c>
      <c r="M41" s="326">
        <v>8000</v>
      </c>
    </row>
    <row r="42" spans="1:13" s="121" customFormat="1" ht="44.25" customHeight="1" x14ac:dyDescent="0.3">
      <c r="A42" s="716"/>
      <c r="B42" s="282" t="s">
        <v>13</v>
      </c>
      <c r="C42" s="283">
        <v>450</v>
      </c>
      <c r="D42" s="238">
        <v>3191.9177291590768</v>
      </c>
      <c r="E42" s="238">
        <v>9783.5413668226574</v>
      </c>
      <c r="F42" s="238">
        <f t="shared" si="3"/>
        <v>12975.459095981734</v>
      </c>
      <c r="G42" s="238">
        <f t="shared" si="6"/>
        <v>9247.1524370570623</v>
      </c>
      <c r="H42" s="238">
        <f t="shared" si="7"/>
        <v>8505.695125885879</v>
      </c>
      <c r="I42" s="238">
        <f t="shared" si="8"/>
        <v>9000</v>
      </c>
      <c r="J42" s="238">
        <v>9100</v>
      </c>
      <c r="K42" s="285">
        <f t="shared" si="10"/>
        <v>0.63155157164048159</v>
      </c>
      <c r="L42" s="284">
        <v>9500</v>
      </c>
      <c r="M42" s="326">
        <v>9000</v>
      </c>
    </row>
    <row r="43" spans="1:13" s="121" customFormat="1" ht="44.25" customHeight="1" x14ac:dyDescent="0.3">
      <c r="A43" s="716"/>
      <c r="B43" s="228" t="s">
        <v>223</v>
      </c>
      <c r="C43" s="231">
        <v>450</v>
      </c>
      <c r="D43" s="234">
        <v>3191.9177291590768</v>
      </c>
      <c r="E43" s="234">
        <v>9783.5413668226574</v>
      </c>
      <c r="F43" s="234">
        <f t="shared" ref="F43" si="13">D43+E43</f>
        <v>12975.459095981734</v>
      </c>
      <c r="G43" s="234">
        <f t="shared" si="6"/>
        <v>7162.046054078337</v>
      </c>
      <c r="H43" s="234">
        <f t="shared" si="7"/>
        <v>6675.9078918433261</v>
      </c>
      <c r="I43" s="234">
        <f t="shared" si="8"/>
        <v>7000</v>
      </c>
      <c r="J43" s="234">
        <v>9100</v>
      </c>
      <c r="K43" s="286">
        <f t="shared" si="10"/>
        <v>0.41407821565475705</v>
      </c>
      <c r="L43" s="331">
        <v>7000</v>
      </c>
      <c r="M43" s="326">
        <v>7000</v>
      </c>
    </row>
    <row r="44" spans="1:13" s="121" customFormat="1" ht="44.25" customHeight="1" x14ac:dyDescent="0.3">
      <c r="A44" s="716"/>
      <c r="B44" s="282" t="s">
        <v>200</v>
      </c>
      <c r="C44" s="283">
        <v>200</v>
      </c>
      <c r="D44" s="238">
        <v>3318.8268214155605</v>
      </c>
      <c r="E44" s="238">
        <v>4213.2704383626515</v>
      </c>
      <c r="F44" s="238">
        <f t="shared" si="3"/>
        <v>7532.097259778212</v>
      </c>
      <c r="G44" s="238">
        <f t="shared" si="6"/>
        <v>6426.8584331312541</v>
      </c>
      <c r="H44" s="238">
        <f t="shared" si="7"/>
        <v>6046.2831337374946</v>
      </c>
      <c r="I44" s="238">
        <f t="shared" si="8"/>
        <v>6300</v>
      </c>
      <c r="J44" s="238">
        <v>6200</v>
      </c>
      <c r="K44" s="285">
        <f t="shared" si="10"/>
        <v>0.75273136977027344</v>
      </c>
      <c r="L44" s="284">
        <v>6500</v>
      </c>
      <c r="M44" s="326">
        <v>6300</v>
      </c>
    </row>
    <row r="45" spans="1:13" s="121" customFormat="1" ht="44.25" customHeight="1" x14ac:dyDescent="0.3">
      <c r="A45" s="717" t="s">
        <v>31</v>
      </c>
      <c r="B45" s="228" t="s">
        <v>32</v>
      </c>
      <c r="C45" s="231">
        <v>270</v>
      </c>
      <c r="D45" s="234">
        <v>3268.0631845129669</v>
      </c>
      <c r="E45" s="234">
        <v>5791.8962097466519</v>
      </c>
      <c r="F45" s="234">
        <f t="shared" si="3"/>
        <v>9059.9593942596184</v>
      </c>
      <c r="G45" s="234">
        <f t="shared" si="6"/>
        <v>7524.7419921483852</v>
      </c>
      <c r="H45" s="234">
        <f t="shared" si="7"/>
        <v>7003.5160157032315</v>
      </c>
      <c r="I45" s="234">
        <f t="shared" si="8"/>
        <v>7351</v>
      </c>
      <c r="J45" s="234">
        <v>7700</v>
      </c>
      <c r="K45" s="286">
        <f t="shared" si="10"/>
        <v>0.7499357112788464</v>
      </c>
      <c r="L45" s="331">
        <v>7351</v>
      </c>
      <c r="M45" s="326">
        <v>7351</v>
      </c>
    </row>
    <row r="46" spans="1:13" s="121" customFormat="1" ht="44.25" customHeight="1" x14ac:dyDescent="0.3">
      <c r="A46" s="718"/>
      <c r="B46" s="282" t="s">
        <v>225</v>
      </c>
      <c r="C46" s="283">
        <v>270</v>
      </c>
      <c r="D46" s="238">
        <v>3268.0631845129669</v>
      </c>
      <c r="E46" s="238">
        <v>5791.8962097466519</v>
      </c>
      <c r="F46" s="238">
        <f t="shared" ref="F46" si="14">D46+E46</f>
        <v>9059.9593942596184</v>
      </c>
      <c r="G46" s="238">
        <f t="shared" si="6"/>
        <v>6116.2526304462572</v>
      </c>
      <c r="H46" s="238">
        <f t="shared" si="7"/>
        <v>5767.4947391074866</v>
      </c>
      <c r="I46" s="238">
        <f t="shared" si="8"/>
        <v>6000</v>
      </c>
      <c r="J46" s="238">
        <v>7700</v>
      </c>
      <c r="K46" s="285">
        <f t="shared" si="10"/>
        <v>0.50179002798179384</v>
      </c>
      <c r="L46" s="284">
        <v>6000</v>
      </c>
      <c r="M46" s="326">
        <v>6000</v>
      </c>
    </row>
    <row r="47" spans="1:13" s="121" customFormat="1" ht="44.25" customHeight="1" x14ac:dyDescent="0.3">
      <c r="A47" s="718"/>
      <c r="B47" s="228" t="s">
        <v>226</v>
      </c>
      <c r="C47" s="231">
        <v>180</v>
      </c>
      <c r="D47" s="234">
        <v>3337.2863257437766</v>
      </c>
      <c r="E47" s="234">
        <v>3757.3124487684686</v>
      </c>
      <c r="F47" s="234">
        <f t="shared" ref="F47" si="15">D47+E47</f>
        <v>7094.5987745122457</v>
      </c>
      <c r="G47" s="234">
        <f t="shared" si="6"/>
        <v>6321.8176031598387</v>
      </c>
      <c r="H47" s="234">
        <f t="shared" si="7"/>
        <v>5956.3647936803209</v>
      </c>
      <c r="I47" s="234">
        <f t="shared" si="8"/>
        <v>6200</v>
      </c>
      <c r="J47" s="234">
        <v>6300</v>
      </c>
      <c r="K47" s="286">
        <f t="shared" si="10"/>
        <v>0.81053681867585525</v>
      </c>
      <c r="L47" s="331">
        <v>6300</v>
      </c>
      <c r="M47" s="326">
        <v>6200</v>
      </c>
    </row>
    <row r="48" spans="1:13" s="121" customFormat="1" ht="44.25" customHeight="1" x14ac:dyDescent="0.3">
      <c r="A48" s="718"/>
      <c r="B48" s="282" t="s">
        <v>227</v>
      </c>
      <c r="C48" s="283">
        <v>180</v>
      </c>
      <c r="D48" s="238">
        <v>3337.2863257437766</v>
      </c>
      <c r="E48" s="238">
        <v>3757.3124487684686</v>
      </c>
      <c r="F48" s="238">
        <f t="shared" ref="F48" si="16">D48+E48</f>
        <v>7094.5987745122457</v>
      </c>
      <c r="G48" s="238">
        <f t="shared" si="6"/>
        <v>5070.7537733726049</v>
      </c>
      <c r="H48" s="238">
        <f t="shared" si="7"/>
        <v>4858.4924532547893</v>
      </c>
      <c r="I48" s="238">
        <f t="shared" si="8"/>
        <v>5000</v>
      </c>
      <c r="J48" s="238">
        <v>6300</v>
      </c>
      <c r="K48" s="285">
        <f t="shared" si="10"/>
        <v>0.47077381996669027</v>
      </c>
      <c r="L48" s="284">
        <v>5000</v>
      </c>
      <c r="M48" s="326">
        <v>5000</v>
      </c>
    </row>
    <row r="49" spans="1:13" s="121" customFormat="1" ht="44.25" customHeight="1" x14ac:dyDescent="0.3">
      <c r="A49" s="718"/>
      <c r="B49" s="228" t="s">
        <v>228</v>
      </c>
      <c r="C49" s="231">
        <v>180</v>
      </c>
      <c r="D49" s="234">
        <v>3337.2863257437766</v>
      </c>
      <c r="E49" s="234">
        <v>3757.3124487684686</v>
      </c>
      <c r="F49" s="234">
        <f t="shared" ref="F49" si="17">D49+E49</f>
        <v>7094.5987745122457</v>
      </c>
      <c r="G49" s="234">
        <f t="shared" si="6"/>
        <v>3923.9452627343071</v>
      </c>
      <c r="H49" s="234">
        <f t="shared" si="7"/>
        <v>3852.1094745313853</v>
      </c>
      <c r="I49" s="234">
        <f t="shared" si="8"/>
        <v>3900</v>
      </c>
      <c r="J49" s="234">
        <v>6300</v>
      </c>
      <c r="K49" s="286">
        <f t="shared" si="10"/>
        <v>0.15932440448328897</v>
      </c>
      <c r="L49" s="331">
        <v>3900</v>
      </c>
      <c r="M49" s="326">
        <v>3900</v>
      </c>
    </row>
    <row r="50" spans="1:13" s="121" customFormat="1" ht="44.25" customHeight="1" x14ac:dyDescent="0.3">
      <c r="A50" s="719"/>
      <c r="B50" s="282" t="s">
        <v>199</v>
      </c>
      <c r="C50" s="283">
        <v>125</v>
      </c>
      <c r="D50" s="238">
        <v>2290</v>
      </c>
      <c r="E50" s="238">
        <v>2609.2447560892142</v>
      </c>
      <c r="F50" s="238">
        <f t="shared" si="3"/>
        <v>4899.2447560892142</v>
      </c>
      <c r="G50" s="238">
        <f t="shared" si="6"/>
        <v>3864.255319148936</v>
      </c>
      <c r="H50" s="238">
        <f t="shared" si="7"/>
        <v>3671.4893617021276</v>
      </c>
      <c r="I50" s="238">
        <f t="shared" si="8"/>
        <v>3799.9999999999995</v>
      </c>
      <c r="J50" s="238">
        <v>6300</v>
      </c>
      <c r="K50" s="285">
        <f t="shared" si="10"/>
        <v>0.61565055366100707</v>
      </c>
      <c r="L50" s="284">
        <v>3800</v>
      </c>
      <c r="M50" s="326">
        <v>3800</v>
      </c>
    </row>
    <row r="51" spans="1:13" s="121" customFormat="1" ht="44.25" customHeight="1" x14ac:dyDescent="0.3">
      <c r="A51" s="714" t="s">
        <v>173</v>
      </c>
      <c r="B51" s="715"/>
      <c r="C51" s="241">
        <v>125</v>
      </c>
      <c r="D51" s="234">
        <v>2289.6963990901199</v>
      </c>
      <c r="E51" s="234">
        <v>2693.1311685185183</v>
      </c>
      <c r="F51" s="234">
        <f t="shared" si="3"/>
        <v>4982.8275676086378</v>
      </c>
      <c r="G51" s="234">
        <f t="shared" si="6"/>
        <v>3812.1405787621229</v>
      </c>
      <c r="H51" s="234">
        <f t="shared" si="7"/>
        <v>3625.7188424757551</v>
      </c>
      <c r="I51" s="234">
        <f t="shared" si="8"/>
        <v>3750</v>
      </c>
      <c r="J51" s="239">
        <v>3700</v>
      </c>
      <c r="K51" s="286">
        <f t="shared" si="10"/>
        <v>0.5768432251696255</v>
      </c>
      <c r="L51" s="277">
        <v>3750</v>
      </c>
      <c r="M51" s="326">
        <v>3750</v>
      </c>
    </row>
    <row r="52" spans="1:13" s="121" customFormat="1" ht="44.25" customHeight="1" thickBot="1" x14ac:dyDescent="0.35">
      <c r="A52" s="712" t="s">
        <v>174</v>
      </c>
      <c r="B52" s="713"/>
      <c r="C52" s="305">
        <v>75</v>
      </c>
      <c r="D52" s="306">
        <v>1724.2807846890123</v>
      </c>
      <c r="E52" s="306">
        <v>1668.1540113333333</v>
      </c>
      <c r="F52" s="306">
        <f t="shared" si="3"/>
        <v>3392.4347960223458</v>
      </c>
      <c r="G52" s="306">
        <f t="shared" si="6"/>
        <v>2914.5837963962122</v>
      </c>
      <c r="H52" s="306">
        <f t="shared" si="7"/>
        <v>2768.8324072075757</v>
      </c>
      <c r="I52" s="306">
        <f t="shared" si="8"/>
        <v>2866</v>
      </c>
      <c r="J52" s="307">
        <v>2650</v>
      </c>
      <c r="K52" s="308">
        <f t="shared" si="10"/>
        <v>0.72810717814627701</v>
      </c>
      <c r="L52" s="309">
        <v>2822</v>
      </c>
      <c r="M52" s="327">
        <v>2866</v>
      </c>
    </row>
    <row r="53" spans="1:13" x14ac:dyDescent="0.25">
      <c r="A53" s="200"/>
      <c r="B53" s="6"/>
      <c r="C53" s="64"/>
      <c r="D53" s="6"/>
      <c r="E53" s="6"/>
      <c r="F53" s="6"/>
      <c r="G53" s="64"/>
      <c r="H53" s="6"/>
      <c r="I53" s="6"/>
      <c r="J53" s="6"/>
      <c r="K53" s="72"/>
    </row>
    <row r="54" spans="1:13" ht="5.25" customHeight="1" x14ac:dyDescent="0.25">
      <c r="A54" s="200"/>
      <c r="B54" s="6"/>
      <c r="C54" s="64"/>
      <c r="D54" s="6"/>
      <c r="E54" s="6"/>
      <c r="F54" s="6"/>
      <c r="G54" s="64"/>
      <c r="H54" s="6"/>
      <c r="I54" s="6"/>
      <c r="J54" s="6"/>
      <c r="K54" s="72"/>
    </row>
    <row r="55" spans="1:13" s="165" customFormat="1" ht="29.25" customHeight="1" x14ac:dyDescent="0.4">
      <c r="A55" s="249"/>
      <c r="B55" s="250"/>
      <c r="C55" s="250"/>
      <c r="D55" s="251"/>
      <c r="E55" s="251"/>
      <c r="F55" s="250"/>
      <c r="G55" s="252"/>
      <c r="H55" s="252"/>
      <c r="I55" s="252"/>
      <c r="J55" s="252"/>
      <c r="K55" s="253"/>
    </row>
    <row r="56" spans="1:13" s="165" customFormat="1" ht="29.25" customHeight="1" x14ac:dyDescent="0.4">
      <c r="A56" s="325"/>
      <c r="B56" s="254"/>
      <c r="C56" s="254"/>
      <c r="D56" s="255"/>
      <c r="E56" s="255"/>
      <c r="F56" s="254"/>
      <c r="G56" s="256"/>
      <c r="H56" s="256"/>
      <c r="I56" s="256"/>
      <c r="J56" s="256"/>
      <c r="K56" s="257"/>
    </row>
    <row r="57" spans="1:13" s="165" customFormat="1" ht="29.25" customHeight="1" x14ac:dyDescent="0.4">
      <c r="A57" s="325"/>
      <c r="B57" s="254"/>
      <c r="C57" s="254"/>
      <c r="D57" s="255"/>
      <c r="E57" s="255"/>
      <c r="F57" s="254"/>
      <c r="G57" s="256"/>
      <c r="H57" s="256"/>
      <c r="I57" s="256"/>
      <c r="J57" s="256"/>
      <c r="K57" s="257"/>
    </row>
    <row r="58" spans="1:13" s="165" customFormat="1" ht="29.25" customHeight="1" x14ac:dyDescent="0.4">
      <c r="A58" s="325"/>
      <c r="B58" s="254"/>
      <c r="C58" s="254"/>
      <c r="D58" s="255"/>
      <c r="E58" s="255"/>
      <c r="F58" s="254"/>
      <c r="G58" s="256"/>
      <c r="H58" s="256"/>
      <c r="I58" s="256"/>
      <c r="J58" s="256"/>
      <c r="K58" s="257"/>
    </row>
    <row r="59" spans="1:13" s="165" customFormat="1" ht="29.25" customHeight="1" x14ac:dyDescent="0.4">
      <c r="A59" s="325"/>
      <c r="B59" s="254"/>
      <c r="C59" s="254"/>
      <c r="D59" s="255"/>
      <c r="E59" s="255"/>
      <c r="F59" s="254"/>
      <c r="G59" s="256"/>
      <c r="H59" s="256"/>
      <c r="I59" s="256"/>
      <c r="J59" s="256"/>
      <c r="K59" s="257"/>
    </row>
    <row r="60" spans="1:13" s="165" customFormat="1" ht="29.25" customHeight="1" x14ac:dyDescent="0.4">
      <c r="A60" s="325"/>
      <c r="B60" s="254"/>
      <c r="C60" s="254"/>
      <c r="D60" s="255"/>
      <c r="E60" s="255"/>
      <c r="F60" s="254"/>
      <c r="G60" s="256"/>
      <c r="H60" s="256"/>
      <c r="I60" s="256"/>
      <c r="J60" s="256"/>
      <c r="K60" s="257"/>
    </row>
    <row r="61" spans="1:13" s="165" customFormat="1" ht="29.25" customHeight="1" x14ac:dyDescent="0.4">
      <c r="A61" s="325"/>
      <c r="B61" s="254"/>
      <c r="C61" s="254"/>
      <c r="D61" s="255"/>
      <c r="E61" s="255"/>
      <c r="F61" s="254"/>
      <c r="G61" s="256"/>
      <c r="H61" s="256"/>
      <c r="I61" s="256"/>
      <c r="J61" s="256"/>
      <c r="K61" s="257"/>
    </row>
    <row r="62" spans="1:13" s="165" customFormat="1" ht="29.25" customHeight="1" x14ac:dyDescent="0.4">
      <c r="A62" s="258"/>
      <c r="B62" s="259"/>
      <c r="C62" s="259"/>
      <c r="D62" s="259"/>
      <c r="E62" s="259"/>
      <c r="F62" s="259"/>
      <c r="G62" s="259"/>
      <c r="H62" s="259"/>
      <c r="I62" s="259"/>
      <c r="J62" s="259"/>
      <c r="K62" s="260"/>
    </row>
    <row r="63" spans="1:13" s="72" customFormat="1" x14ac:dyDescent="0.25">
      <c r="A63" s="201"/>
    </row>
    <row r="64" spans="1:13" x14ac:dyDescent="0.25">
      <c r="H64" s="72"/>
      <c r="I64" s="72"/>
      <c r="J64" s="72"/>
      <c r="K64" s="72"/>
    </row>
    <row r="65" spans="8:11" customFormat="1" x14ac:dyDescent="0.25">
      <c r="H65" s="72"/>
      <c r="I65" s="72"/>
      <c r="J65" s="72"/>
      <c r="K65" s="72"/>
    </row>
  </sheetData>
  <mergeCells count="12">
    <mergeCell ref="A52:B52"/>
    <mergeCell ref="A51:B51"/>
    <mergeCell ref="A34:A39"/>
    <mergeCell ref="A40:A44"/>
    <mergeCell ref="A45:A50"/>
    <mergeCell ref="A1:K1"/>
    <mergeCell ref="A32:B32"/>
    <mergeCell ref="A4:B4"/>
    <mergeCell ref="A11:A15"/>
    <mergeCell ref="A16:B16"/>
    <mergeCell ref="A17:B17"/>
    <mergeCell ref="A6:A10"/>
  </mergeCells>
  <pageMargins left="0.70866141732283472" right="0.70866141732283472" top="0.94488188976377963" bottom="0.35433070866141736" header="0.31496062992125984" footer="0.31496062992125984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workbookViewId="0">
      <selection activeCell="E28" sqref="E28"/>
    </sheetView>
  </sheetViews>
  <sheetFormatPr defaultRowHeight="15" x14ac:dyDescent="0.25"/>
  <cols>
    <col min="1" max="1" width="21.5703125" customWidth="1"/>
    <col min="2" max="2" width="59.85546875" customWidth="1"/>
    <col min="3" max="6" width="23.140625" customWidth="1"/>
    <col min="7" max="7" width="7.140625" customWidth="1"/>
    <col min="8" max="10" width="23.140625" customWidth="1"/>
    <col min="11" max="11" width="20.85546875" customWidth="1"/>
    <col min="12" max="13" width="23.140625" customWidth="1"/>
  </cols>
  <sheetData>
    <row r="1" spans="1:13" ht="26.25" x14ac:dyDescent="0.25">
      <c r="A1" s="653" t="s">
        <v>0</v>
      </c>
      <c r="B1" s="653"/>
      <c r="C1" s="653"/>
      <c r="D1" s="653"/>
      <c r="E1" s="653"/>
      <c r="F1" s="653"/>
      <c r="G1" s="653"/>
      <c r="H1" s="653"/>
      <c r="I1" s="653"/>
      <c r="J1" s="653"/>
      <c r="K1" s="1"/>
      <c r="L1" s="70"/>
    </row>
    <row r="2" spans="1:13" ht="2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70"/>
    </row>
    <row r="3" spans="1:13" ht="21" x14ac:dyDescent="0.25">
      <c r="A3" s="3" t="s">
        <v>1</v>
      </c>
      <c r="B3" s="4"/>
      <c r="C3" s="4"/>
      <c r="D3" s="4"/>
      <c r="E3" s="4"/>
      <c r="F3" s="4"/>
      <c r="G3" s="1"/>
      <c r="H3" s="1"/>
      <c r="I3" s="69"/>
      <c r="J3" s="1"/>
      <c r="K3" s="1"/>
      <c r="L3" s="70"/>
    </row>
    <row r="4" spans="1:13" ht="45" customHeight="1" x14ac:dyDescent="0.25">
      <c r="A4" s="654" t="s">
        <v>2</v>
      </c>
      <c r="B4" s="654"/>
      <c r="C4" s="5" t="s">
        <v>3</v>
      </c>
      <c r="D4" s="5" t="s">
        <v>4</v>
      </c>
      <c r="E4" s="5" t="s">
        <v>5</v>
      </c>
      <c r="F4" s="5" t="s">
        <v>6</v>
      </c>
      <c r="G4" s="6"/>
      <c r="H4" s="155" t="s">
        <v>157</v>
      </c>
      <c r="I4" s="155" t="s">
        <v>158</v>
      </c>
      <c r="J4" s="155" t="s">
        <v>159</v>
      </c>
      <c r="K4" s="1"/>
      <c r="L4" s="71" t="s">
        <v>37</v>
      </c>
    </row>
    <row r="5" spans="1:13" ht="15.75" x14ac:dyDescent="0.25">
      <c r="A5" s="156"/>
      <c r="B5" s="156"/>
      <c r="C5" s="5"/>
      <c r="D5" s="5"/>
      <c r="E5" s="5"/>
      <c r="F5" s="5"/>
      <c r="G5" s="6"/>
      <c r="H5" s="73">
        <v>1</v>
      </c>
      <c r="I5" s="73">
        <v>0.86</v>
      </c>
      <c r="J5" s="73">
        <v>0.93</v>
      </c>
      <c r="K5" s="1"/>
      <c r="L5" s="72"/>
    </row>
    <row r="6" spans="1:13" s="121" customFormat="1" ht="26.25" customHeight="1" x14ac:dyDescent="0.4">
      <c r="A6" s="721" t="s">
        <v>11</v>
      </c>
      <c r="B6" s="172" t="s">
        <v>160</v>
      </c>
      <c r="C6" s="159">
        <v>550</v>
      </c>
      <c r="D6" s="160">
        <v>4289.8986277717058</v>
      </c>
      <c r="E6" s="160">
        <v>11941.655382347013</v>
      </c>
      <c r="F6" s="160">
        <f>D6+E6</f>
        <v>16231.554010118718</v>
      </c>
      <c r="G6" s="161"/>
      <c r="H6" s="160">
        <f t="shared" ref="H6:H17" si="0">D6+E6*L6*$H$5</f>
        <v>13246.140164531964</v>
      </c>
      <c r="I6" s="160">
        <f t="shared" ref="I6:I17" si="1">D6+E6*$I$5*L6</f>
        <v>11992.266349385529</v>
      </c>
      <c r="J6" s="160">
        <f t="shared" ref="J6:J16" si="2">D6+E6*$J$5*L6</f>
        <v>12619.203256958746</v>
      </c>
      <c r="K6" s="162"/>
      <c r="L6" s="163">
        <v>0.75</v>
      </c>
      <c r="M6" s="154"/>
    </row>
    <row r="7" spans="1:13" s="121" customFormat="1" ht="26.25" customHeight="1" x14ac:dyDescent="0.4">
      <c r="A7" s="722"/>
      <c r="B7" s="172" t="s">
        <v>162</v>
      </c>
      <c r="C7" s="159">
        <v>550</v>
      </c>
      <c r="D7" s="160">
        <v>4289.8986277717058</v>
      </c>
      <c r="E7" s="160">
        <v>11941.655382347013</v>
      </c>
      <c r="F7" s="160">
        <f>D7+E7</f>
        <v>16231.554010118718</v>
      </c>
      <c r="G7" s="161"/>
      <c r="H7" s="160">
        <f t="shared" si="0"/>
        <v>10260.726318945213</v>
      </c>
      <c r="I7" s="160">
        <f t="shared" si="1"/>
        <v>9424.8104421809221</v>
      </c>
      <c r="J7" s="160">
        <f>D7+E7*$J$5*L7</f>
        <v>9842.7683805630659</v>
      </c>
      <c r="K7" s="162"/>
      <c r="L7" s="164">
        <v>0.5</v>
      </c>
      <c r="M7" s="154"/>
    </row>
    <row r="8" spans="1:13" s="121" customFormat="1" ht="26.25" customHeight="1" x14ac:dyDescent="0.4">
      <c r="A8" s="722"/>
      <c r="B8" s="172" t="s">
        <v>13</v>
      </c>
      <c r="C8" s="159">
        <v>400</v>
      </c>
      <c r="D8" s="160">
        <v>4338.1942847146329</v>
      </c>
      <c r="E8" s="160">
        <v>8637.2648112671013</v>
      </c>
      <c r="F8" s="160">
        <f t="shared" ref="F8:F44" si="3">D8+E8</f>
        <v>12975.459095981734</v>
      </c>
      <c r="G8" s="161"/>
      <c r="H8" s="160">
        <f t="shared" si="0"/>
        <v>10816.142893164959</v>
      </c>
      <c r="I8" s="160">
        <f t="shared" si="1"/>
        <v>9909.2300879819122</v>
      </c>
      <c r="J8" s="160">
        <f t="shared" si="2"/>
        <v>10362.686490573436</v>
      </c>
      <c r="K8" s="162"/>
      <c r="L8" s="163">
        <v>0.75</v>
      </c>
      <c r="M8" s="154"/>
    </row>
    <row r="9" spans="1:13" s="121" customFormat="1" ht="26.25" customHeight="1" x14ac:dyDescent="0.4">
      <c r="A9" s="722"/>
      <c r="B9" s="172" t="s">
        <v>161</v>
      </c>
      <c r="C9" s="159">
        <v>300</v>
      </c>
      <c r="D9" s="160">
        <v>4386.489941657559</v>
      </c>
      <c r="E9" s="160">
        <v>6415.3452401871882</v>
      </c>
      <c r="F9" s="160">
        <f t="shared" si="3"/>
        <v>10801.835181844748</v>
      </c>
      <c r="G9" s="161"/>
      <c r="H9" s="160">
        <f t="shared" si="0"/>
        <v>9197.9988717979504</v>
      </c>
      <c r="I9" s="160">
        <f t="shared" si="1"/>
        <v>8524.3876215782948</v>
      </c>
      <c r="J9" s="160">
        <f t="shared" si="2"/>
        <v>8861.1932466881226</v>
      </c>
      <c r="K9" s="162"/>
      <c r="L9" s="163">
        <v>0.75</v>
      </c>
      <c r="M9" s="154"/>
    </row>
    <row r="10" spans="1:13" s="121" customFormat="1" ht="26.25" customHeight="1" x14ac:dyDescent="0.4">
      <c r="A10" s="723"/>
      <c r="B10" s="172" t="s">
        <v>163</v>
      </c>
      <c r="C10" s="159">
        <v>300</v>
      </c>
      <c r="D10" s="160">
        <v>4386.489941657559</v>
      </c>
      <c r="E10" s="160">
        <v>6415.3452401871882</v>
      </c>
      <c r="F10" s="160">
        <f t="shared" si="3"/>
        <v>10801.835181844748</v>
      </c>
      <c r="G10" s="161"/>
      <c r="H10" s="160">
        <f t="shared" si="0"/>
        <v>7594.1625617511527</v>
      </c>
      <c r="I10" s="160">
        <f t="shared" si="1"/>
        <v>7145.0883949380495</v>
      </c>
      <c r="J10" s="160">
        <f t="shared" si="2"/>
        <v>7369.625478344602</v>
      </c>
      <c r="K10" s="162"/>
      <c r="L10" s="164">
        <v>0.5</v>
      </c>
      <c r="M10" s="154"/>
    </row>
    <row r="11" spans="1:13" s="121" customFormat="1" ht="26.25" customHeight="1" x14ac:dyDescent="0.4">
      <c r="A11" s="724" t="s">
        <v>15</v>
      </c>
      <c r="B11" s="172" t="s">
        <v>12</v>
      </c>
      <c r="C11" s="159">
        <v>600</v>
      </c>
      <c r="D11" s="160">
        <v>3156.3831833272616</v>
      </c>
      <c r="E11" s="160">
        <v>13075.170826791458</v>
      </c>
      <c r="F11" s="160">
        <f t="shared" si="3"/>
        <v>16231.55401011872</v>
      </c>
      <c r="G11" s="161"/>
      <c r="H11" s="160">
        <f t="shared" si="0"/>
        <v>12962.761303420855</v>
      </c>
      <c r="I11" s="160">
        <f t="shared" si="1"/>
        <v>11589.868366607752</v>
      </c>
      <c r="J11" s="160">
        <f t="shared" si="2"/>
        <v>12276.314835014304</v>
      </c>
      <c r="K11" s="162"/>
      <c r="L11" s="163">
        <v>0.75</v>
      </c>
      <c r="M11" s="154"/>
    </row>
    <row r="12" spans="1:13" s="121" customFormat="1" ht="26.25" customHeight="1" x14ac:dyDescent="0.4">
      <c r="A12" s="724"/>
      <c r="B12" s="172" t="s">
        <v>162</v>
      </c>
      <c r="C12" s="159">
        <v>600</v>
      </c>
      <c r="D12" s="160">
        <v>3156.3831833272616</v>
      </c>
      <c r="E12" s="160">
        <v>13075.170826791458</v>
      </c>
      <c r="F12" s="160">
        <f t="shared" si="3"/>
        <v>16231.55401011872</v>
      </c>
      <c r="G12" s="161"/>
      <c r="H12" s="160">
        <f t="shared" si="0"/>
        <v>9693.9685967229907</v>
      </c>
      <c r="I12" s="160">
        <f t="shared" si="1"/>
        <v>8778.7066388475887</v>
      </c>
      <c r="J12" s="160">
        <f t="shared" si="2"/>
        <v>9236.3376177852897</v>
      </c>
      <c r="K12" s="162"/>
      <c r="L12" s="164">
        <v>0.5</v>
      </c>
      <c r="M12" s="154"/>
    </row>
    <row r="13" spans="1:13" s="121" customFormat="1" ht="26.25" customHeight="1" x14ac:dyDescent="0.4">
      <c r="A13" s="724"/>
      <c r="B13" s="172" t="s">
        <v>13</v>
      </c>
      <c r="C13" s="159">
        <v>450</v>
      </c>
      <c r="D13" s="160">
        <v>3191.9177291590768</v>
      </c>
      <c r="E13" s="160">
        <v>9783.5413668226574</v>
      </c>
      <c r="F13" s="160">
        <f t="shared" si="3"/>
        <v>12975.459095981734</v>
      </c>
      <c r="G13" s="161"/>
      <c r="H13" s="160">
        <f t="shared" si="0"/>
        <v>10529.573754276069</v>
      </c>
      <c r="I13" s="160">
        <f t="shared" si="1"/>
        <v>9502.3019107596901</v>
      </c>
      <c r="J13" s="160">
        <f t="shared" si="2"/>
        <v>10015.93783251788</v>
      </c>
      <c r="K13" s="162"/>
      <c r="L13" s="163">
        <v>0.75</v>
      </c>
      <c r="M13" s="154"/>
    </row>
    <row r="14" spans="1:13" s="121" customFormat="1" ht="26.25" customHeight="1" x14ac:dyDescent="0.4">
      <c r="A14" s="724"/>
      <c r="B14" s="172" t="s">
        <v>161</v>
      </c>
      <c r="C14" s="159">
        <v>300</v>
      </c>
      <c r="D14" s="160">
        <v>3251.1419722121027</v>
      </c>
      <c r="E14" s="160">
        <v>6462.434266874654</v>
      </c>
      <c r="F14" s="160">
        <f>D14+E14</f>
        <v>9713.5762390867567</v>
      </c>
      <c r="G14" s="161"/>
      <c r="H14" s="160">
        <f>D14+E14*L14*$H$5</f>
        <v>8097.9676723680932</v>
      </c>
      <c r="I14" s="160">
        <f>D14+E14*$I$5*L14</f>
        <v>7419.4120743462545</v>
      </c>
      <c r="J14" s="160">
        <f>D14+E14*$J$5*L14</f>
        <v>7758.6898733571743</v>
      </c>
      <c r="K14" s="162"/>
      <c r="L14" s="163">
        <v>0.75</v>
      </c>
      <c r="M14" s="154"/>
    </row>
    <row r="15" spans="1:13" s="121" customFormat="1" ht="26.25" customHeight="1" x14ac:dyDescent="0.4">
      <c r="A15" s="724"/>
      <c r="B15" s="130" t="s">
        <v>163</v>
      </c>
      <c r="C15" s="159">
        <v>300</v>
      </c>
      <c r="D15" s="160">
        <v>3251.1419722121027</v>
      </c>
      <c r="E15" s="160">
        <v>6462.434266874654</v>
      </c>
      <c r="F15" s="160">
        <f>D15+E15</f>
        <v>9713.5762390867567</v>
      </c>
      <c r="G15" s="165"/>
      <c r="H15" s="160">
        <f>D15+E15*L15*$H$5</f>
        <v>6482.3591056494297</v>
      </c>
      <c r="I15" s="160">
        <f>D15+E15*$I$5*L15</f>
        <v>6029.9887069682045</v>
      </c>
      <c r="J15" s="160">
        <f>D15+E15*$J$5*L15</f>
        <v>6256.1739063088171</v>
      </c>
      <c r="K15" s="165"/>
      <c r="L15" s="164">
        <v>0.5</v>
      </c>
      <c r="M15" s="154"/>
    </row>
    <row r="16" spans="1:13" s="121" customFormat="1" ht="26.25" customHeight="1" x14ac:dyDescent="0.4">
      <c r="A16" s="720" t="s">
        <v>16</v>
      </c>
      <c r="B16" s="720"/>
      <c r="C16" s="166">
        <v>125</v>
      </c>
      <c r="D16" s="160">
        <v>2262.1368823619159</v>
      </c>
      <c r="E16" s="160">
        <v>2700.4971714475387</v>
      </c>
      <c r="F16" s="160">
        <f>D16+E16</f>
        <v>4962.6340538094546</v>
      </c>
      <c r="G16" s="161"/>
      <c r="H16" s="160">
        <f t="shared" si="0"/>
        <v>3882.4351852304389</v>
      </c>
      <c r="I16" s="160">
        <f t="shared" si="1"/>
        <v>3655.5934228288461</v>
      </c>
      <c r="J16" s="160">
        <f t="shared" si="2"/>
        <v>3769.0143040296425</v>
      </c>
      <c r="K16" s="162"/>
      <c r="L16" s="167">
        <v>0.6</v>
      </c>
      <c r="M16" s="154"/>
    </row>
    <row r="17" spans="1:13" s="121" customFormat="1" ht="26.25" customHeight="1" x14ac:dyDescent="0.4">
      <c r="A17" s="720" t="s">
        <v>17</v>
      </c>
      <c r="B17" s="720"/>
      <c r="C17" s="166">
        <v>50</v>
      </c>
      <c r="D17" s="160">
        <v>1102.6869233085536</v>
      </c>
      <c r="E17" s="160">
        <v>1145.4037853333332</v>
      </c>
      <c r="F17" s="160">
        <f>D17+E17</f>
        <v>2248.0907086418865</v>
      </c>
      <c r="G17" s="161"/>
      <c r="H17" s="160">
        <f t="shared" si="0"/>
        <v>1789.9291945085533</v>
      </c>
      <c r="I17" s="160">
        <f t="shared" si="1"/>
        <v>1693.7152765405535</v>
      </c>
      <c r="J17" s="160">
        <f>D17+E17*$J$5*L17</f>
        <v>1741.8222355245534</v>
      </c>
      <c r="K17" s="162"/>
      <c r="L17" s="167">
        <v>0.6</v>
      </c>
      <c r="M17" s="154"/>
    </row>
    <row r="18" spans="1:13" ht="15.75" x14ac:dyDescent="0.25">
      <c r="A18" s="15"/>
      <c r="B18" s="15"/>
      <c r="C18" s="16"/>
      <c r="D18" s="17"/>
      <c r="E18" s="17"/>
      <c r="F18" s="17"/>
      <c r="G18" s="6"/>
      <c r="H18" s="18"/>
      <c r="I18" s="17"/>
      <c r="J18" s="17"/>
      <c r="K18" s="1"/>
      <c r="L18" s="72"/>
    </row>
    <row r="19" spans="1:13" s="130" customFormat="1" ht="24.75" customHeight="1" x14ac:dyDescent="0.35">
      <c r="A19" s="123" t="s">
        <v>152</v>
      </c>
      <c r="B19" s="124"/>
      <c r="C19" s="124"/>
      <c r="D19" s="125"/>
      <c r="E19" s="125"/>
      <c r="F19" s="124"/>
      <c r="G19" s="126"/>
      <c r="H19" s="126"/>
      <c r="I19" s="126"/>
      <c r="J19" s="127"/>
      <c r="K19" s="129"/>
      <c r="L19" s="128"/>
    </row>
    <row r="20" spans="1:13" s="130" customFormat="1" ht="24.75" customHeight="1" x14ac:dyDescent="0.35">
      <c r="A20" s="131" t="s">
        <v>150</v>
      </c>
      <c r="B20" s="132"/>
      <c r="C20" s="132"/>
      <c r="D20" s="133"/>
      <c r="E20" s="133"/>
      <c r="F20" s="132"/>
      <c r="G20" s="134"/>
      <c r="H20" s="134"/>
      <c r="I20" s="134"/>
      <c r="J20" s="135"/>
      <c r="K20" s="129"/>
      <c r="L20" s="128"/>
    </row>
    <row r="21" spans="1:13" s="130" customFormat="1" ht="24.75" customHeight="1" x14ac:dyDescent="0.35">
      <c r="A21" s="136" t="s">
        <v>170</v>
      </c>
      <c r="B21" s="132"/>
      <c r="C21" s="132"/>
      <c r="D21" s="133"/>
      <c r="E21" s="133"/>
      <c r="F21" s="132"/>
      <c r="G21" s="134"/>
      <c r="H21" s="134"/>
      <c r="I21" s="134"/>
      <c r="J21" s="135"/>
      <c r="K21" s="129"/>
      <c r="L21" s="128"/>
    </row>
    <row r="22" spans="1:13" s="130" customFormat="1" ht="24.75" customHeight="1" x14ac:dyDescent="0.35">
      <c r="A22" s="136" t="s">
        <v>20</v>
      </c>
      <c r="B22" s="132"/>
      <c r="C22" s="132"/>
      <c r="D22" s="133"/>
      <c r="E22" s="133"/>
      <c r="F22" s="132"/>
      <c r="G22" s="134"/>
      <c r="H22" s="134"/>
      <c r="I22" s="134"/>
      <c r="J22" s="135"/>
      <c r="K22" s="129"/>
      <c r="L22" s="128"/>
    </row>
    <row r="23" spans="1:13" s="130" customFormat="1" ht="24.75" customHeight="1" x14ac:dyDescent="0.35">
      <c r="A23" s="136" t="s">
        <v>21</v>
      </c>
      <c r="B23" s="132"/>
      <c r="C23" s="132"/>
      <c r="D23" s="133"/>
      <c r="E23" s="133"/>
      <c r="F23" s="132"/>
      <c r="G23" s="134"/>
      <c r="H23" s="134"/>
      <c r="I23" s="134"/>
      <c r="J23" s="135"/>
      <c r="K23" s="129"/>
      <c r="L23" s="128"/>
    </row>
    <row r="24" spans="1:13" s="130" customFormat="1" ht="24.75" customHeight="1" x14ac:dyDescent="0.35">
      <c r="A24" s="131"/>
      <c r="B24" s="132"/>
      <c r="C24" s="132"/>
      <c r="D24" s="133"/>
      <c r="E24" s="133"/>
      <c r="F24" s="132"/>
      <c r="G24" s="134"/>
      <c r="H24" s="134"/>
      <c r="I24" s="134"/>
      <c r="J24" s="135"/>
      <c r="K24" s="129"/>
      <c r="L24" s="128"/>
    </row>
    <row r="25" spans="1:13" s="130" customFormat="1" ht="24.75" customHeight="1" x14ac:dyDescent="0.35">
      <c r="A25" s="136" t="s">
        <v>22</v>
      </c>
      <c r="B25" s="132"/>
      <c r="C25" s="132"/>
      <c r="D25" s="133"/>
      <c r="E25" s="133"/>
      <c r="F25" s="132"/>
      <c r="G25" s="134"/>
      <c r="H25" s="134"/>
      <c r="I25" s="134"/>
      <c r="J25" s="135"/>
      <c r="K25" s="129"/>
      <c r="L25" s="128"/>
    </row>
    <row r="26" spans="1:13" s="130" customFormat="1" ht="24.75" customHeight="1" x14ac:dyDescent="0.35">
      <c r="A26" s="137"/>
      <c r="B26" s="138"/>
      <c r="C26" s="138"/>
      <c r="D26" s="139"/>
      <c r="E26" s="139"/>
      <c r="F26" s="138"/>
      <c r="G26" s="140"/>
      <c r="H26" s="140"/>
      <c r="I26" s="140"/>
      <c r="J26" s="141"/>
      <c r="K26" s="129"/>
      <c r="L26" s="128"/>
    </row>
    <row r="27" spans="1:13" ht="15.75" x14ac:dyDescent="0.25">
      <c r="A27" s="15"/>
      <c r="B27" s="15"/>
      <c r="C27" s="16"/>
      <c r="D27" s="17"/>
      <c r="E27" s="17"/>
      <c r="F27" s="17"/>
      <c r="G27" s="6"/>
      <c r="H27" s="6"/>
      <c r="I27" s="6"/>
      <c r="J27" s="6"/>
      <c r="K27" s="1"/>
      <c r="L27" s="72"/>
    </row>
    <row r="28" spans="1:13" ht="15.75" x14ac:dyDescent="0.25">
      <c r="A28" s="15"/>
      <c r="B28" s="15"/>
      <c r="C28" s="16"/>
      <c r="D28" s="17"/>
      <c r="E28" s="17"/>
      <c r="F28" s="17"/>
      <c r="G28" s="6"/>
      <c r="H28" s="6"/>
      <c r="I28" s="6"/>
      <c r="J28" s="6"/>
      <c r="K28" s="6"/>
      <c r="L28" s="72"/>
    </row>
    <row r="29" spans="1:13" ht="15.75" x14ac:dyDescent="0.25">
      <c r="A29" s="15"/>
      <c r="B29" s="15"/>
      <c r="C29" s="16"/>
      <c r="D29" s="17"/>
      <c r="E29" s="17"/>
      <c r="F29" s="17"/>
      <c r="G29" s="6"/>
      <c r="H29" s="6"/>
      <c r="I29" s="6"/>
      <c r="J29" s="6"/>
      <c r="K29" s="6"/>
      <c r="L29" s="72"/>
    </row>
    <row r="30" spans="1:13" ht="15.75" x14ac:dyDescent="0.25">
      <c r="A30" s="15"/>
      <c r="B30" s="15"/>
      <c r="C30" s="16"/>
      <c r="D30" s="17"/>
      <c r="E30" s="17"/>
      <c r="F30" s="17"/>
      <c r="G30" s="6"/>
      <c r="H30" s="1"/>
      <c r="I30" s="17"/>
      <c r="J30" s="17"/>
      <c r="K30" s="6"/>
      <c r="L30" s="72"/>
    </row>
    <row r="31" spans="1:13" ht="30.75" customHeight="1" x14ac:dyDescent="0.25">
      <c r="A31" s="3" t="s">
        <v>27</v>
      </c>
      <c r="B31" s="40"/>
      <c r="C31" s="41"/>
      <c r="D31" s="17"/>
      <c r="E31" s="17"/>
      <c r="F31" s="17"/>
      <c r="G31" s="6"/>
      <c r="H31" s="652" t="s">
        <v>143</v>
      </c>
      <c r="I31" s="652" t="s">
        <v>156</v>
      </c>
      <c r="J31" s="652" t="s">
        <v>155</v>
      </c>
      <c r="K31" s="652" t="s">
        <v>26</v>
      </c>
      <c r="L31" s="670" t="s">
        <v>37</v>
      </c>
    </row>
    <row r="32" spans="1:13" ht="31.5" x14ac:dyDescent="0.25">
      <c r="A32" s="659" t="s">
        <v>2</v>
      </c>
      <c r="B32" s="659"/>
      <c r="C32" s="5" t="s">
        <v>3</v>
      </c>
      <c r="D32" s="5" t="s">
        <v>4</v>
      </c>
      <c r="E32" s="5" t="s">
        <v>5</v>
      </c>
      <c r="F32" s="5" t="s">
        <v>6</v>
      </c>
      <c r="G32" s="1"/>
      <c r="H32" s="652"/>
      <c r="I32" s="652"/>
      <c r="J32" s="652"/>
      <c r="K32" s="652"/>
      <c r="L32" s="671"/>
    </row>
    <row r="33" spans="1:12" ht="18.75" x14ac:dyDescent="0.25">
      <c r="A33" s="173"/>
      <c r="B33" s="173"/>
      <c r="C33" s="5"/>
      <c r="D33" s="5"/>
      <c r="E33" s="5"/>
      <c r="F33" s="5"/>
      <c r="G33" s="1"/>
      <c r="H33" s="73">
        <v>0.98</v>
      </c>
      <c r="I33" s="73">
        <v>0.86</v>
      </c>
      <c r="J33" s="73">
        <v>0.94</v>
      </c>
      <c r="K33" s="73"/>
      <c r="L33" s="71"/>
    </row>
    <row r="34" spans="1:12" s="121" customFormat="1" ht="26.25" x14ac:dyDescent="0.4">
      <c r="A34" s="703" t="s">
        <v>28</v>
      </c>
      <c r="B34" s="157" t="s">
        <v>12</v>
      </c>
      <c r="C34" s="159">
        <v>600</v>
      </c>
      <c r="D34" s="160">
        <v>3156.3831833272616</v>
      </c>
      <c r="E34" s="160">
        <v>13075.170826791458</v>
      </c>
      <c r="F34" s="160">
        <f t="shared" si="3"/>
        <v>16231.55401011872</v>
      </c>
      <c r="G34" s="161"/>
      <c r="H34" s="160">
        <f t="shared" ref="H34:H44" si="4">D34+E34*$H$33*L34</f>
        <v>12766.633741018983</v>
      </c>
      <c r="I34" s="160">
        <f t="shared" ref="I34:I44" si="5">D34+E34*$I$33*L34</f>
        <v>11589.868366607752</v>
      </c>
      <c r="J34" s="160">
        <f t="shared" ref="J34:J44" si="6">D34+E34*$J$33*L34</f>
        <v>12374.378616215239</v>
      </c>
      <c r="K34" s="168"/>
      <c r="L34" s="163">
        <v>0.75</v>
      </c>
    </row>
    <row r="35" spans="1:12" s="121" customFormat="1" ht="26.25" x14ac:dyDescent="0.4">
      <c r="A35" s="703"/>
      <c r="B35" s="157" t="s">
        <v>13</v>
      </c>
      <c r="C35" s="159">
        <v>450</v>
      </c>
      <c r="D35" s="160">
        <v>3191.9177291590768</v>
      </c>
      <c r="E35" s="160">
        <v>9783.5413668226574</v>
      </c>
      <c r="F35" s="160">
        <f t="shared" si="3"/>
        <v>12975.459095981734</v>
      </c>
      <c r="G35" s="161"/>
      <c r="H35" s="160">
        <f t="shared" si="4"/>
        <v>10382.82063377373</v>
      </c>
      <c r="I35" s="160">
        <f t="shared" si="5"/>
        <v>9502.3019107596901</v>
      </c>
      <c r="J35" s="160">
        <f t="shared" si="6"/>
        <v>10089.314392769049</v>
      </c>
      <c r="K35" s="168"/>
      <c r="L35" s="163">
        <v>0.75</v>
      </c>
    </row>
    <row r="36" spans="1:12" s="121" customFormat="1" ht="26.25" x14ac:dyDescent="0.4">
      <c r="A36" s="703"/>
      <c r="B36" s="157" t="s">
        <v>161</v>
      </c>
      <c r="C36" s="159">
        <v>300</v>
      </c>
      <c r="D36" s="160">
        <v>3251.1419722121027</v>
      </c>
      <c r="E36" s="160">
        <v>6462.434266874654</v>
      </c>
      <c r="F36" s="160">
        <f t="shared" ref="F36" si="7">D36+E36</f>
        <v>9713.5762390867567</v>
      </c>
      <c r="G36" s="161"/>
      <c r="H36" s="160">
        <f t="shared" ref="H36" si="8">D36+E36*$H$33*L36</f>
        <v>8001.0311583649736</v>
      </c>
      <c r="I36" s="160">
        <f t="shared" ref="I36" si="9">D36+E36*$I$33*L36</f>
        <v>7419.4120743462545</v>
      </c>
      <c r="J36" s="160">
        <f t="shared" ref="J36" si="10">D36+E36*$J$33*L36</f>
        <v>7807.1581303587336</v>
      </c>
      <c r="K36" s="168"/>
      <c r="L36" s="163">
        <v>0.75</v>
      </c>
    </row>
    <row r="37" spans="1:12" s="121" customFormat="1" ht="26.25" x14ac:dyDescent="0.4">
      <c r="A37" s="703"/>
      <c r="B37" s="157" t="s">
        <v>163</v>
      </c>
      <c r="C37" s="159">
        <v>300</v>
      </c>
      <c r="D37" s="160">
        <v>3251.1419722121027</v>
      </c>
      <c r="E37" s="160">
        <v>6462.434266874654</v>
      </c>
      <c r="F37" s="160">
        <f t="shared" si="3"/>
        <v>9713.5762390867567</v>
      </c>
      <c r="G37" s="161"/>
      <c r="H37" s="160">
        <f t="shared" si="4"/>
        <v>6417.7347629806827</v>
      </c>
      <c r="I37" s="160">
        <f t="shared" si="5"/>
        <v>6029.9887069682045</v>
      </c>
      <c r="J37" s="160">
        <f t="shared" si="6"/>
        <v>6288.4860776431906</v>
      </c>
      <c r="K37" s="168"/>
      <c r="L37" s="164">
        <v>0.5</v>
      </c>
    </row>
    <row r="38" spans="1:12" s="121" customFormat="1" ht="26.25" x14ac:dyDescent="0.4">
      <c r="A38" s="703" t="s">
        <v>29</v>
      </c>
      <c r="B38" s="157" t="s">
        <v>12</v>
      </c>
      <c r="C38" s="159">
        <v>600</v>
      </c>
      <c r="D38" s="160">
        <v>3156.3831833272616</v>
      </c>
      <c r="E38" s="160">
        <v>13075.170826791458</v>
      </c>
      <c r="F38" s="160">
        <f t="shared" si="3"/>
        <v>16231.55401011872</v>
      </c>
      <c r="G38" s="161"/>
      <c r="H38" s="160">
        <f t="shared" si="4"/>
        <v>12766.633741018983</v>
      </c>
      <c r="I38" s="160">
        <f t="shared" si="5"/>
        <v>11589.868366607752</v>
      </c>
      <c r="J38" s="160">
        <f t="shared" si="6"/>
        <v>12374.378616215239</v>
      </c>
      <c r="K38" s="169">
        <v>13193</v>
      </c>
      <c r="L38" s="163">
        <v>0.75</v>
      </c>
    </row>
    <row r="39" spans="1:12" s="121" customFormat="1" ht="26.25" x14ac:dyDescent="0.4">
      <c r="A39" s="703"/>
      <c r="B39" s="157" t="s">
        <v>13</v>
      </c>
      <c r="C39" s="159">
        <v>450</v>
      </c>
      <c r="D39" s="160">
        <v>3191.9177291590768</v>
      </c>
      <c r="E39" s="160">
        <v>9783.5413668226574</v>
      </c>
      <c r="F39" s="160">
        <f t="shared" si="3"/>
        <v>12975.459095981734</v>
      </c>
      <c r="G39" s="161"/>
      <c r="H39" s="160">
        <f t="shared" si="4"/>
        <v>10382.82063377373</v>
      </c>
      <c r="I39" s="160">
        <f t="shared" si="5"/>
        <v>9502.3019107596901</v>
      </c>
      <c r="J39" s="160">
        <f t="shared" si="6"/>
        <v>10089.314392769049</v>
      </c>
      <c r="K39" s="169">
        <v>9100</v>
      </c>
      <c r="L39" s="163">
        <v>0.75</v>
      </c>
    </row>
    <row r="40" spans="1:12" s="121" customFormat="1" ht="26.25" x14ac:dyDescent="0.4">
      <c r="A40" s="703"/>
      <c r="B40" s="157" t="s">
        <v>30</v>
      </c>
      <c r="C40" s="159">
        <v>200</v>
      </c>
      <c r="D40" s="160">
        <v>3318.8268214155605</v>
      </c>
      <c r="E40" s="160">
        <v>4213.2704383626515</v>
      </c>
      <c r="F40" s="160">
        <f t="shared" si="3"/>
        <v>7532.097259778212</v>
      </c>
      <c r="G40" s="161"/>
      <c r="H40" s="160">
        <f t="shared" si="4"/>
        <v>6415.5805936121096</v>
      </c>
      <c r="I40" s="160">
        <f t="shared" si="5"/>
        <v>6036.3862541594708</v>
      </c>
      <c r="J40" s="160">
        <f t="shared" si="6"/>
        <v>6289.1824804612297</v>
      </c>
      <c r="K40" s="169">
        <v>6200</v>
      </c>
      <c r="L40" s="163">
        <v>0.75</v>
      </c>
    </row>
    <row r="41" spans="1:12" s="121" customFormat="1" ht="26.25" x14ac:dyDescent="0.4">
      <c r="A41" s="701" t="s">
        <v>31</v>
      </c>
      <c r="B41" s="158" t="s">
        <v>32</v>
      </c>
      <c r="C41" s="170">
        <v>270</v>
      </c>
      <c r="D41" s="160">
        <v>3268.0631845129669</v>
      </c>
      <c r="E41" s="160">
        <v>5791.8962097466519</v>
      </c>
      <c r="F41" s="160">
        <f t="shared" si="3"/>
        <v>9059.9593942596184</v>
      </c>
      <c r="G41" s="161"/>
      <c r="H41" s="160">
        <f t="shared" si="4"/>
        <v>7525.106898676755</v>
      </c>
      <c r="I41" s="160">
        <f t="shared" si="5"/>
        <v>7003.836239799557</v>
      </c>
      <c r="J41" s="160">
        <f t="shared" si="6"/>
        <v>7351.3500123843569</v>
      </c>
      <c r="K41" s="169">
        <v>7700</v>
      </c>
      <c r="L41" s="163">
        <v>0.75</v>
      </c>
    </row>
    <row r="42" spans="1:12" s="121" customFormat="1" ht="26.25" x14ac:dyDescent="0.4">
      <c r="A42" s="701"/>
      <c r="B42" s="158" t="s">
        <v>30</v>
      </c>
      <c r="C42" s="170">
        <v>180</v>
      </c>
      <c r="D42" s="160">
        <v>3337.2863257437766</v>
      </c>
      <c r="E42" s="160">
        <v>3757.3124487684686</v>
      </c>
      <c r="F42" s="160">
        <f t="shared" si="3"/>
        <v>7094.5987745122457</v>
      </c>
      <c r="G42" s="161"/>
      <c r="H42" s="160">
        <f t="shared" si="4"/>
        <v>6098.9109755886011</v>
      </c>
      <c r="I42" s="160">
        <f t="shared" si="5"/>
        <v>5760.7528551994392</v>
      </c>
      <c r="J42" s="160">
        <f t="shared" si="6"/>
        <v>5986.1916021255474</v>
      </c>
      <c r="K42" s="169">
        <v>6300</v>
      </c>
      <c r="L42" s="163">
        <v>0.75</v>
      </c>
    </row>
    <row r="43" spans="1:12" s="121" customFormat="1" ht="26.25" x14ac:dyDescent="0.4">
      <c r="A43" s="704" t="s">
        <v>33</v>
      </c>
      <c r="B43" s="704"/>
      <c r="C43" s="171">
        <v>125</v>
      </c>
      <c r="D43" s="160">
        <v>2289.6963990901199</v>
      </c>
      <c r="E43" s="160">
        <v>2693.1311685185183</v>
      </c>
      <c r="F43" s="160">
        <f t="shared" si="3"/>
        <v>4982.8275676086378</v>
      </c>
      <c r="G43" s="161"/>
      <c r="H43" s="160">
        <f t="shared" si="4"/>
        <v>3873.2575261790089</v>
      </c>
      <c r="I43" s="160">
        <f t="shared" si="5"/>
        <v>3679.3520820456752</v>
      </c>
      <c r="J43" s="160">
        <f t="shared" si="6"/>
        <v>3808.6223781345643</v>
      </c>
      <c r="K43" s="169">
        <v>3700</v>
      </c>
      <c r="L43" s="167">
        <v>0.6</v>
      </c>
    </row>
    <row r="44" spans="1:12" s="121" customFormat="1" ht="26.25" x14ac:dyDescent="0.4">
      <c r="A44" s="701" t="s">
        <v>34</v>
      </c>
      <c r="B44" s="701"/>
      <c r="C44" s="170">
        <v>75</v>
      </c>
      <c r="D44" s="160">
        <v>1724.2807846890123</v>
      </c>
      <c r="E44" s="160">
        <v>1668.1540113333333</v>
      </c>
      <c r="F44" s="160">
        <f t="shared" si="3"/>
        <v>3392.4347960223458</v>
      </c>
      <c r="G44" s="161"/>
      <c r="H44" s="160">
        <f t="shared" si="4"/>
        <v>2705.1553433530125</v>
      </c>
      <c r="I44" s="160">
        <f t="shared" si="5"/>
        <v>2585.0482545370123</v>
      </c>
      <c r="J44" s="160">
        <f t="shared" si="6"/>
        <v>2665.1196470810123</v>
      </c>
      <c r="K44" s="169">
        <v>2650</v>
      </c>
      <c r="L44" s="167">
        <v>0.6</v>
      </c>
    </row>
    <row r="45" spans="1:12" x14ac:dyDescent="0.25">
      <c r="A45" s="6"/>
      <c r="B45" s="6"/>
      <c r="C45" s="64"/>
      <c r="D45" s="6"/>
      <c r="E45" s="6"/>
      <c r="F45" s="6"/>
      <c r="G45" s="6"/>
      <c r="H45" s="64"/>
      <c r="I45" s="6"/>
      <c r="J45" s="6"/>
      <c r="K45" s="6"/>
      <c r="L45" s="72"/>
    </row>
    <row r="46" spans="1:12" x14ac:dyDescent="0.25">
      <c r="A46" s="6"/>
      <c r="B46" s="6"/>
      <c r="C46" s="64"/>
      <c r="D46" s="6"/>
      <c r="E46" s="6"/>
      <c r="F46" s="6"/>
      <c r="G46" s="6"/>
      <c r="H46" s="64"/>
      <c r="I46" s="6"/>
      <c r="J46" s="6"/>
      <c r="K46" s="6"/>
      <c r="L46" s="72"/>
    </row>
    <row r="47" spans="1:12" s="130" customFormat="1" ht="21" x14ac:dyDescent="0.35">
      <c r="A47" s="142" t="s">
        <v>151</v>
      </c>
      <c r="B47" s="124"/>
      <c r="C47" s="124"/>
      <c r="D47" s="125"/>
      <c r="E47" s="125"/>
      <c r="F47" s="124"/>
      <c r="G47" s="126"/>
      <c r="H47" s="126"/>
      <c r="I47" s="126"/>
      <c r="J47" s="126"/>
      <c r="K47" s="126"/>
      <c r="L47" s="127"/>
    </row>
    <row r="48" spans="1:12" s="130" customFormat="1" ht="21" x14ac:dyDescent="0.35">
      <c r="A48" s="136" t="s">
        <v>164</v>
      </c>
      <c r="B48" s="132"/>
      <c r="C48" s="132"/>
      <c r="D48" s="133"/>
      <c r="E48" s="133"/>
      <c r="F48" s="132"/>
      <c r="G48" s="134"/>
      <c r="H48" s="134"/>
      <c r="I48" s="134"/>
      <c r="J48" s="134"/>
      <c r="K48" s="134"/>
      <c r="L48" s="135"/>
    </row>
    <row r="49" spans="1:12" s="130" customFormat="1" ht="21" x14ac:dyDescent="0.35">
      <c r="A49" s="136" t="s">
        <v>35</v>
      </c>
      <c r="B49" s="132"/>
      <c r="C49" s="132"/>
      <c r="D49" s="133"/>
      <c r="E49" s="133"/>
      <c r="F49" s="132"/>
      <c r="G49" s="134"/>
      <c r="H49" s="134"/>
      <c r="I49" s="134"/>
      <c r="J49" s="134"/>
      <c r="K49" s="134"/>
      <c r="L49" s="135"/>
    </row>
    <row r="50" spans="1:12" s="130" customFormat="1" ht="21" x14ac:dyDescent="0.35">
      <c r="A50" s="136" t="s">
        <v>36</v>
      </c>
      <c r="B50" s="132"/>
      <c r="C50" s="132"/>
      <c r="D50" s="133"/>
      <c r="E50" s="133"/>
      <c r="F50" s="132"/>
      <c r="G50" s="134"/>
      <c r="H50" s="134"/>
      <c r="I50" s="134"/>
      <c r="J50" s="134"/>
      <c r="K50" s="134"/>
      <c r="L50" s="135"/>
    </row>
    <row r="51" spans="1:12" s="130" customFormat="1" ht="21" x14ac:dyDescent="0.35">
      <c r="A51" s="136"/>
      <c r="B51" s="132"/>
      <c r="C51" s="132"/>
      <c r="D51" s="133"/>
      <c r="E51" s="133"/>
      <c r="F51" s="132"/>
      <c r="G51" s="134"/>
      <c r="H51" s="134"/>
      <c r="I51" s="134"/>
      <c r="J51" s="134"/>
      <c r="K51" s="134"/>
      <c r="L51" s="135"/>
    </row>
    <row r="52" spans="1:12" s="130" customFormat="1" ht="21" x14ac:dyDescent="0.35">
      <c r="A52" s="136" t="s">
        <v>22</v>
      </c>
      <c r="B52" s="132"/>
      <c r="C52" s="132"/>
      <c r="D52" s="133"/>
      <c r="E52" s="133"/>
      <c r="F52" s="132"/>
      <c r="G52" s="134"/>
      <c r="H52" s="134"/>
      <c r="I52" s="134"/>
      <c r="J52" s="134"/>
      <c r="K52" s="134"/>
      <c r="L52" s="135"/>
    </row>
    <row r="53" spans="1:12" s="130" customFormat="1" ht="2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1"/>
    </row>
    <row r="54" spans="1:12" s="72" customFormat="1" x14ac:dyDescent="0.25"/>
    <row r="55" spans="1:12" x14ac:dyDescent="0.25">
      <c r="I55" s="72"/>
      <c r="J55" s="72"/>
      <c r="K55" s="72"/>
      <c r="L55" s="72"/>
    </row>
    <row r="56" spans="1:12" x14ac:dyDescent="0.25">
      <c r="I56" s="72"/>
      <c r="J56" s="72"/>
      <c r="K56" s="72"/>
      <c r="L56" s="72"/>
    </row>
  </sheetData>
  <mergeCells count="17">
    <mergeCell ref="A43:B43"/>
    <mergeCell ref="A44:B44"/>
    <mergeCell ref="K31:K32"/>
    <mergeCell ref="L31:L32"/>
    <mergeCell ref="A34:A37"/>
    <mergeCell ref="A38:A40"/>
    <mergeCell ref="A41:A42"/>
    <mergeCell ref="A32:B32"/>
    <mergeCell ref="A17:B17"/>
    <mergeCell ref="H31:H32"/>
    <mergeCell ref="I31:I32"/>
    <mergeCell ref="J31:J32"/>
    <mergeCell ref="A1:J1"/>
    <mergeCell ref="A4:B4"/>
    <mergeCell ref="A6:A10"/>
    <mergeCell ref="A11:A15"/>
    <mergeCell ref="A16:B1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O83"/>
  <sheetViews>
    <sheetView workbookViewId="0">
      <selection activeCell="V2" sqref="V2"/>
    </sheetView>
  </sheetViews>
  <sheetFormatPr defaultRowHeight="15" x14ac:dyDescent="0.25"/>
  <cols>
    <col min="7" max="7" width="19.28515625" customWidth="1"/>
    <col min="15" max="15" width="9.140625" style="190"/>
  </cols>
  <sheetData>
    <row r="1" spans="7:15" ht="126.75" thickBot="1" x14ac:dyDescent="0.3">
      <c r="G1" s="174" t="s">
        <v>165</v>
      </c>
      <c r="H1" s="175" t="s">
        <v>166</v>
      </c>
      <c r="I1" s="175" t="s">
        <v>167</v>
      </c>
      <c r="J1" s="175" t="s">
        <v>168</v>
      </c>
      <c r="N1" s="181" t="s">
        <v>169</v>
      </c>
      <c r="O1" s="187" t="s">
        <v>37</v>
      </c>
    </row>
    <row r="2" spans="7:15" ht="16.5" thickBot="1" x14ac:dyDescent="0.3">
      <c r="G2" s="176" t="s">
        <v>42</v>
      </c>
      <c r="H2" s="177">
        <v>1</v>
      </c>
      <c r="I2" s="178">
        <v>1</v>
      </c>
      <c r="J2" s="179">
        <v>1</v>
      </c>
      <c r="N2" s="182" t="s">
        <v>48</v>
      </c>
      <c r="O2" s="188">
        <f>VLOOKUP(N2,G:H,2,0)</f>
        <v>0.94</v>
      </c>
    </row>
    <row r="3" spans="7:15" ht="16.5" thickBot="1" x14ac:dyDescent="0.3">
      <c r="G3" s="176" t="s">
        <v>69</v>
      </c>
      <c r="H3" s="177">
        <v>1</v>
      </c>
      <c r="I3" s="178">
        <v>0.92</v>
      </c>
      <c r="J3" s="179">
        <v>0.96</v>
      </c>
      <c r="N3" s="182" t="s">
        <v>68</v>
      </c>
      <c r="O3" s="188">
        <f t="shared" ref="O3:O39" si="0">VLOOKUP(N3,G:H,2,0)</f>
        <v>0.97</v>
      </c>
    </row>
    <row r="4" spans="7:15" ht="16.5" thickBot="1" x14ac:dyDescent="0.3">
      <c r="G4" s="176" t="s">
        <v>80</v>
      </c>
      <c r="H4" s="177">
        <v>1</v>
      </c>
      <c r="I4" s="178">
        <v>0.88</v>
      </c>
      <c r="J4" s="179">
        <v>0.94</v>
      </c>
      <c r="N4" s="182" t="s">
        <v>75</v>
      </c>
      <c r="O4" s="188">
        <f t="shared" si="0"/>
        <v>0.96</v>
      </c>
    </row>
    <row r="5" spans="7:15" ht="16.5" thickBot="1" x14ac:dyDescent="0.3">
      <c r="G5" s="176" t="s">
        <v>40</v>
      </c>
      <c r="H5" s="177">
        <v>0.99</v>
      </c>
      <c r="I5" s="178">
        <v>1</v>
      </c>
      <c r="J5" s="179">
        <v>0.995</v>
      </c>
      <c r="N5" s="182" t="s">
        <v>69</v>
      </c>
      <c r="O5" s="188">
        <f t="shared" si="0"/>
        <v>1</v>
      </c>
    </row>
    <row r="6" spans="7:15" ht="16.5" thickBot="1" x14ac:dyDescent="0.3">
      <c r="G6" s="176" t="s">
        <v>70</v>
      </c>
      <c r="H6" s="177">
        <v>0.99</v>
      </c>
      <c r="I6" s="178">
        <v>0.92</v>
      </c>
      <c r="J6" s="179">
        <v>0.95500000000000007</v>
      </c>
      <c r="N6" s="182" t="s">
        <v>94</v>
      </c>
      <c r="O6" s="188">
        <f t="shared" si="0"/>
        <v>0.97</v>
      </c>
    </row>
    <row r="7" spans="7:15" ht="16.5" thickBot="1" x14ac:dyDescent="0.3">
      <c r="G7" s="176" t="s">
        <v>92</v>
      </c>
      <c r="H7" s="177">
        <v>0.99</v>
      </c>
      <c r="I7" s="178">
        <v>0.88</v>
      </c>
      <c r="J7" s="179">
        <v>0.93500000000000005</v>
      </c>
      <c r="N7" s="182" t="s">
        <v>81</v>
      </c>
      <c r="O7" s="188">
        <f t="shared" si="0"/>
        <v>0.95</v>
      </c>
    </row>
    <row r="8" spans="7:15" ht="16.5" thickBot="1" x14ac:dyDescent="0.3">
      <c r="G8" s="176" t="s">
        <v>113</v>
      </c>
      <c r="H8" s="177">
        <v>0.99</v>
      </c>
      <c r="I8" s="178">
        <v>0.8</v>
      </c>
      <c r="J8" s="179">
        <v>0.89500000000000002</v>
      </c>
      <c r="N8" s="182" t="s">
        <v>49</v>
      </c>
      <c r="O8" s="188">
        <f t="shared" si="0"/>
        <v>0.92</v>
      </c>
    </row>
    <row r="9" spans="7:15" ht="16.5" thickBot="1" x14ac:dyDescent="0.3">
      <c r="G9" s="176" t="s">
        <v>41</v>
      </c>
      <c r="H9" s="177">
        <v>0.98</v>
      </c>
      <c r="I9" s="178">
        <v>1</v>
      </c>
      <c r="J9" s="179">
        <v>0.99</v>
      </c>
      <c r="N9" s="182" t="s">
        <v>50</v>
      </c>
      <c r="O9" s="188">
        <f t="shared" si="0"/>
        <v>0.92</v>
      </c>
    </row>
    <row r="10" spans="7:15" ht="16.5" thickBot="1" x14ac:dyDescent="0.3">
      <c r="G10" s="176" t="s">
        <v>43</v>
      </c>
      <c r="H10" s="177">
        <v>0.98</v>
      </c>
      <c r="I10" s="178">
        <v>1</v>
      </c>
      <c r="J10" s="179">
        <v>0.99</v>
      </c>
      <c r="N10" s="182" t="s">
        <v>113</v>
      </c>
      <c r="O10" s="188">
        <f t="shared" si="0"/>
        <v>0.99</v>
      </c>
    </row>
    <row r="11" spans="7:15" ht="16.5" thickBot="1" x14ac:dyDescent="0.3">
      <c r="G11" s="176" t="s">
        <v>73</v>
      </c>
      <c r="H11" s="177">
        <v>0.98</v>
      </c>
      <c r="I11" s="178">
        <v>0.92</v>
      </c>
      <c r="J11" s="179">
        <v>0.95</v>
      </c>
      <c r="N11" s="182" t="s">
        <v>115</v>
      </c>
      <c r="O11" s="188">
        <f t="shared" si="0"/>
        <v>0.94</v>
      </c>
    </row>
    <row r="12" spans="7:15" ht="16.5" thickBot="1" x14ac:dyDescent="0.3">
      <c r="G12" s="176" t="s">
        <v>83</v>
      </c>
      <c r="H12" s="177">
        <v>0.98</v>
      </c>
      <c r="I12" s="178">
        <v>0.88</v>
      </c>
      <c r="J12" s="179">
        <v>0.92999999999999994</v>
      </c>
      <c r="N12" s="182" t="s">
        <v>64</v>
      </c>
      <c r="O12" s="188">
        <f t="shared" si="0"/>
        <v>0.94</v>
      </c>
    </row>
    <row r="13" spans="7:15" ht="16.5" thickBot="1" x14ac:dyDescent="0.3">
      <c r="G13" s="176" t="s">
        <v>82</v>
      </c>
      <c r="H13" s="177">
        <v>0.98</v>
      </c>
      <c r="I13" s="178">
        <v>0.88</v>
      </c>
      <c r="J13" s="179">
        <v>0.92999999999999994</v>
      </c>
      <c r="N13" s="182" t="s">
        <v>58</v>
      </c>
      <c r="O13" s="188">
        <f t="shared" si="0"/>
        <v>0.94</v>
      </c>
    </row>
    <row r="14" spans="7:15" ht="16.5" thickBot="1" x14ac:dyDescent="0.3">
      <c r="G14" s="176" t="s">
        <v>103</v>
      </c>
      <c r="H14" s="177">
        <v>0.98</v>
      </c>
      <c r="I14" s="178">
        <v>0.84</v>
      </c>
      <c r="J14" s="179">
        <v>0.90999999999999992</v>
      </c>
      <c r="N14" s="182" t="s">
        <v>108</v>
      </c>
      <c r="O14" s="188">
        <f t="shared" si="0"/>
        <v>0.96</v>
      </c>
    </row>
    <row r="15" spans="7:15" ht="16.5" thickBot="1" x14ac:dyDescent="0.3">
      <c r="G15" s="176" t="s">
        <v>105</v>
      </c>
      <c r="H15" s="177">
        <v>0.98</v>
      </c>
      <c r="I15" s="178">
        <v>0.84</v>
      </c>
      <c r="J15" s="179">
        <v>0.90999999999999992</v>
      </c>
      <c r="N15" s="182" t="s">
        <v>70</v>
      </c>
      <c r="O15" s="188">
        <f t="shared" si="0"/>
        <v>0.99</v>
      </c>
    </row>
    <row r="16" spans="7:15" ht="16.5" thickBot="1" x14ac:dyDescent="0.3">
      <c r="G16" s="176" t="s">
        <v>111</v>
      </c>
      <c r="H16" s="177">
        <v>0.98</v>
      </c>
      <c r="I16" s="178">
        <v>0.8</v>
      </c>
      <c r="J16" s="179">
        <v>0.89</v>
      </c>
      <c r="N16" s="182" t="s">
        <v>109</v>
      </c>
      <c r="O16" s="188">
        <f t="shared" si="0"/>
        <v>0.96</v>
      </c>
    </row>
    <row r="17" spans="7:15" ht="16.5" thickBot="1" x14ac:dyDescent="0.3">
      <c r="G17" s="176" t="s">
        <v>61</v>
      </c>
      <c r="H17" s="177">
        <v>0.97</v>
      </c>
      <c r="I17" s="178">
        <v>1</v>
      </c>
      <c r="J17" s="179">
        <v>0.98499999999999999</v>
      </c>
      <c r="N17" s="182" t="s">
        <v>118</v>
      </c>
      <c r="O17" s="188">
        <f t="shared" si="0"/>
        <v>0.94</v>
      </c>
    </row>
    <row r="18" spans="7:15" ht="16.5" thickBot="1" x14ac:dyDescent="0.3">
      <c r="G18" s="176" t="s">
        <v>68</v>
      </c>
      <c r="H18" s="177">
        <v>0.97</v>
      </c>
      <c r="I18" s="178">
        <v>0.92</v>
      </c>
      <c r="J18" s="179">
        <v>0.94500000000000006</v>
      </c>
      <c r="N18" s="182" t="s">
        <v>82</v>
      </c>
      <c r="O18" s="188">
        <f t="shared" si="0"/>
        <v>0.98</v>
      </c>
    </row>
    <row r="19" spans="7:15" ht="16.5" thickBot="1" x14ac:dyDescent="0.3">
      <c r="G19" s="176" t="s">
        <v>72</v>
      </c>
      <c r="H19" s="177">
        <v>0.97</v>
      </c>
      <c r="I19" s="178">
        <v>0.92</v>
      </c>
      <c r="J19" s="179">
        <v>0.94500000000000006</v>
      </c>
      <c r="N19" s="182" t="s">
        <v>103</v>
      </c>
      <c r="O19" s="188">
        <f t="shared" si="0"/>
        <v>0.98</v>
      </c>
    </row>
    <row r="20" spans="7:15" ht="16.5" thickBot="1" x14ac:dyDescent="0.3">
      <c r="G20" s="176" t="s">
        <v>71</v>
      </c>
      <c r="H20" s="177">
        <v>0.97</v>
      </c>
      <c r="I20" s="178">
        <v>0.92</v>
      </c>
      <c r="J20" s="179">
        <v>0.94500000000000006</v>
      </c>
      <c r="N20" s="182" t="s">
        <v>102</v>
      </c>
      <c r="O20" s="188">
        <f t="shared" si="0"/>
        <v>0.95</v>
      </c>
    </row>
    <row r="21" spans="7:15" ht="16.5" thickBot="1" x14ac:dyDescent="0.3">
      <c r="G21" s="176" t="s">
        <v>74</v>
      </c>
      <c r="H21" s="177">
        <v>0.97</v>
      </c>
      <c r="I21" s="178">
        <v>0.92</v>
      </c>
      <c r="J21" s="179">
        <v>0.94500000000000006</v>
      </c>
      <c r="N21" s="182" t="s">
        <v>106</v>
      </c>
      <c r="O21" s="188">
        <f t="shared" si="0"/>
        <v>0.95</v>
      </c>
    </row>
    <row r="22" spans="7:15" ht="16.5" thickBot="1" x14ac:dyDescent="0.3">
      <c r="G22" s="176" t="s">
        <v>77</v>
      </c>
      <c r="H22" s="177">
        <v>0.97</v>
      </c>
      <c r="I22" s="178">
        <v>0.92</v>
      </c>
      <c r="J22" s="179">
        <v>0.94500000000000006</v>
      </c>
      <c r="N22" s="182" t="s">
        <v>51</v>
      </c>
      <c r="O22" s="188">
        <f t="shared" si="0"/>
        <v>0.92</v>
      </c>
    </row>
    <row r="23" spans="7:15" ht="16.5" thickBot="1" x14ac:dyDescent="0.3">
      <c r="G23" s="176" t="s">
        <v>85</v>
      </c>
      <c r="H23" s="177">
        <v>0.97</v>
      </c>
      <c r="I23" s="178">
        <v>0.88</v>
      </c>
      <c r="J23" s="179">
        <v>0.92500000000000004</v>
      </c>
      <c r="N23" s="182" t="s">
        <v>95</v>
      </c>
      <c r="O23" s="188">
        <f t="shared" si="0"/>
        <v>0.93</v>
      </c>
    </row>
    <row r="24" spans="7:15" ht="16.5" thickBot="1" x14ac:dyDescent="0.3">
      <c r="G24" s="176" t="s">
        <v>94</v>
      </c>
      <c r="H24" s="177">
        <v>0.97</v>
      </c>
      <c r="I24" s="178">
        <v>0.88</v>
      </c>
      <c r="J24" s="179">
        <v>0.92500000000000004</v>
      </c>
      <c r="N24" s="182" t="s">
        <v>119</v>
      </c>
      <c r="O24" s="188">
        <f t="shared" si="0"/>
        <v>0.96</v>
      </c>
    </row>
    <row r="25" spans="7:15" ht="16.5" thickBot="1" x14ac:dyDescent="0.3">
      <c r="G25" s="176" t="s">
        <v>91</v>
      </c>
      <c r="H25" s="177">
        <v>0.97</v>
      </c>
      <c r="I25" s="178">
        <v>0.88</v>
      </c>
      <c r="J25" s="179">
        <v>0.92500000000000004</v>
      </c>
      <c r="N25" s="182" t="s">
        <v>71</v>
      </c>
      <c r="O25" s="188">
        <f t="shared" si="0"/>
        <v>0.97</v>
      </c>
    </row>
    <row r="26" spans="7:15" ht="16.5" thickBot="1" x14ac:dyDescent="0.3">
      <c r="G26" s="176" t="s">
        <v>100</v>
      </c>
      <c r="H26" s="177">
        <v>0.97</v>
      </c>
      <c r="I26" s="178">
        <v>0.84</v>
      </c>
      <c r="J26" s="179">
        <v>0.90500000000000003</v>
      </c>
      <c r="N26" s="182" t="s">
        <v>65</v>
      </c>
      <c r="O26" s="188">
        <f t="shared" si="0"/>
        <v>0.95</v>
      </c>
    </row>
    <row r="27" spans="7:15" ht="16.5" thickBot="1" x14ac:dyDescent="0.3">
      <c r="G27" s="176" t="s">
        <v>112</v>
      </c>
      <c r="H27" s="177">
        <v>0.97</v>
      </c>
      <c r="I27" s="178">
        <v>0.8</v>
      </c>
      <c r="J27" s="179">
        <v>0.88500000000000001</v>
      </c>
      <c r="N27" s="182" t="s">
        <v>40</v>
      </c>
      <c r="O27" s="188">
        <f t="shared" si="0"/>
        <v>0.99</v>
      </c>
    </row>
    <row r="28" spans="7:15" ht="16.5" thickBot="1" x14ac:dyDescent="0.3">
      <c r="G28" s="176" t="s">
        <v>116</v>
      </c>
      <c r="H28" s="177">
        <v>0.97</v>
      </c>
      <c r="I28" s="178">
        <v>0.8</v>
      </c>
      <c r="J28" s="179">
        <v>0.88500000000000001</v>
      </c>
      <c r="N28" s="182" t="s">
        <v>86</v>
      </c>
      <c r="O28" s="188">
        <f t="shared" si="0"/>
        <v>0.94</v>
      </c>
    </row>
    <row r="29" spans="7:15" ht="16.5" thickBot="1" x14ac:dyDescent="0.3">
      <c r="G29" s="176" t="s">
        <v>47</v>
      </c>
      <c r="H29" s="177">
        <v>0.96</v>
      </c>
      <c r="I29" s="178">
        <v>1</v>
      </c>
      <c r="J29" s="179">
        <v>0.98</v>
      </c>
      <c r="N29" s="182" t="s">
        <v>96</v>
      </c>
      <c r="O29" s="188">
        <f t="shared" si="0"/>
        <v>0.94</v>
      </c>
    </row>
    <row r="30" spans="7:15" ht="16.5" thickBot="1" x14ac:dyDescent="0.3">
      <c r="G30" s="176" t="s">
        <v>45</v>
      </c>
      <c r="H30" s="177">
        <v>0.96</v>
      </c>
      <c r="I30" s="178">
        <v>1</v>
      </c>
      <c r="J30" s="179">
        <v>0.98</v>
      </c>
      <c r="N30" s="182" t="s">
        <v>78</v>
      </c>
      <c r="O30" s="188">
        <f t="shared" si="0"/>
        <v>0.96</v>
      </c>
    </row>
    <row r="31" spans="7:15" ht="16.5" thickBot="1" x14ac:dyDescent="0.3">
      <c r="G31" s="176" t="s">
        <v>52</v>
      </c>
      <c r="H31" s="177">
        <v>0.96</v>
      </c>
      <c r="I31" s="178">
        <v>1</v>
      </c>
      <c r="J31" s="179">
        <v>0.98</v>
      </c>
      <c r="N31" s="182" t="s">
        <v>101</v>
      </c>
      <c r="O31" s="188">
        <f t="shared" si="0"/>
        <v>0.96</v>
      </c>
    </row>
    <row r="32" spans="7:15" ht="16.5" thickBot="1" x14ac:dyDescent="0.3">
      <c r="G32" s="176" t="s">
        <v>67</v>
      </c>
      <c r="H32" s="177">
        <v>0.96</v>
      </c>
      <c r="I32" s="178">
        <v>0.92</v>
      </c>
      <c r="J32" s="179">
        <v>0.94</v>
      </c>
      <c r="N32" s="182" t="s">
        <v>43</v>
      </c>
      <c r="O32" s="188">
        <f t="shared" si="0"/>
        <v>0.98</v>
      </c>
    </row>
    <row r="33" spans="7:15" ht="16.5" thickBot="1" x14ac:dyDescent="0.3">
      <c r="G33" s="176" t="s">
        <v>78</v>
      </c>
      <c r="H33" s="177">
        <v>0.96</v>
      </c>
      <c r="I33" s="178">
        <v>0.92</v>
      </c>
      <c r="J33" s="179">
        <v>0.94</v>
      </c>
      <c r="N33" s="182" t="s">
        <v>63</v>
      </c>
      <c r="O33" s="188">
        <f t="shared" si="0"/>
        <v>0.95</v>
      </c>
    </row>
    <row r="34" spans="7:15" ht="16.5" thickBot="1" x14ac:dyDescent="0.3">
      <c r="G34" s="176" t="s">
        <v>76</v>
      </c>
      <c r="H34" s="177">
        <v>0.96</v>
      </c>
      <c r="I34" s="178">
        <v>0.92</v>
      </c>
      <c r="J34" s="179">
        <v>0.94</v>
      </c>
      <c r="N34" s="182" t="s">
        <v>52</v>
      </c>
      <c r="O34" s="188">
        <f t="shared" si="0"/>
        <v>0.96</v>
      </c>
    </row>
    <row r="35" spans="7:15" ht="16.5" thickBot="1" x14ac:dyDescent="0.3">
      <c r="G35" s="176" t="s">
        <v>75</v>
      </c>
      <c r="H35" s="177">
        <v>0.96</v>
      </c>
      <c r="I35" s="178">
        <v>0.92</v>
      </c>
      <c r="J35" s="179">
        <v>0.94</v>
      </c>
      <c r="N35" s="182" t="s">
        <v>97</v>
      </c>
      <c r="O35" s="188">
        <f t="shared" si="0"/>
        <v>0.96</v>
      </c>
    </row>
    <row r="36" spans="7:15" ht="16.5" thickBot="1" x14ac:dyDescent="0.3">
      <c r="G36" s="176" t="s">
        <v>98</v>
      </c>
      <c r="H36" s="177">
        <v>0.96</v>
      </c>
      <c r="I36" s="178">
        <v>0.88</v>
      </c>
      <c r="J36" s="179">
        <v>0.91999999999999993</v>
      </c>
      <c r="N36" s="182" t="s">
        <v>114</v>
      </c>
      <c r="O36" s="188">
        <f t="shared" si="0"/>
        <v>0.96</v>
      </c>
    </row>
    <row r="37" spans="7:15" ht="16.5" thickBot="1" x14ac:dyDescent="0.3">
      <c r="G37" s="176" t="s">
        <v>101</v>
      </c>
      <c r="H37" s="177">
        <v>0.96</v>
      </c>
      <c r="I37" s="178">
        <v>0.88</v>
      </c>
      <c r="J37" s="179">
        <v>0.91999999999999993</v>
      </c>
      <c r="N37" s="182" t="s">
        <v>100</v>
      </c>
      <c r="O37" s="188">
        <f t="shared" si="0"/>
        <v>0.97</v>
      </c>
    </row>
    <row r="38" spans="7:15" ht="16.5" thickBot="1" x14ac:dyDescent="0.3">
      <c r="G38" s="176" t="s">
        <v>97</v>
      </c>
      <c r="H38" s="177">
        <v>0.96</v>
      </c>
      <c r="I38" s="178">
        <v>0.88</v>
      </c>
      <c r="J38" s="179">
        <v>0.91999999999999993</v>
      </c>
      <c r="N38" s="182" t="s">
        <v>44</v>
      </c>
      <c r="O38" s="188">
        <f t="shared" si="0"/>
        <v>0.94</v>
      </c>
    </row>
    <row r="39" spans="7:15" ht="16.5" thickBot="1" x14ac:dyDescent="0.3">
      <c r="G39" s="176" t="s">
        <v>89</v>
      </c>
      <c r="H39" s="177">
        <v>0.96</v>
      </c>
      <c r="I39" s="178">
        <v>0.88</v>
      </c>
      <c r="J39" s="179">
        <v>0.91999999999999993</v>
      </c>
      <c r="N39" s="182" t="s">
        <v>111</v>
      </c>
      <c r="O39" s="188">
        <f t="shared" si="0"/>
        <v>0.98</v>
      </c>
    </row>
    <row r="40" spans="7:15" ht="16.5" thickBot="1" x14ac:dyDescent="0.3">
      <c r="G40" s="176" t="s">
        <v>90</v>
      </c>
      <c r="H40" s="177">
        <v>0.96</v>
      </c>
      <c r="I40" s="178">
        <v>0.88</v>
      </c>
      <c r="J40" s="179">
        <v>0.91999999999999993</v>
      </c>
      <c r="N40" s="182" t="s">
        <v>87</v>
      </c>
      <c r="O40" s="188">
        <v>0.97</v>
      </c>
    </row>
    <row r="41" spans="7:15" ht="16.5" thickBot="1" x14ac:dyDescent="0.3">
      <c r="G41" s="176" t="s">
        <v>93</v>
      </c>
      <c r="H41" s="177">
        <v>0.96</v>
      </c>
      <c r="I41" s="178">
        <v>0.88</v>
      </c>
      <c r="J41" s="179">
        <v>0.91999999999999993</v>
      </c>
      <c r="N41" s="183" t="s">
        <v>169</v>
      </c>
      <c r="O41" s="189" t="s">
        <v>37</v>
      </c>
    </row>
    <row r="42" spans="7:15" ht="16.5" thickBot="1" x14ac:dyDescent="0.3">
      <c r="G42" s="176" t="s">
        <v>104</v>
      </c>
      <c r="H42" s="177">
        <v>0.96</v>
      </c>
      <c r="I42" s="178">
        <v>0.84</v>
      </c>
      <c r="J42" s="179">
        <v>0.89999999999999991</v>
      </c>
      <c r="N42" s="182" t="s">
        <v>60</v>
      </c>
      <c r="O42" s="188">
        <f t="shared" ref="O42:O83" si="1">VLOOKUP(N42,G:H,2,0)</f>
        <v>0.85</v>
      </c>
    </row>
    <row r="43" spans="7:15" ht="16.5" thickBot="1" x14ac:dyDescent="0.3">
      <c r="G43" s="176" t="s">
        <v>109</v>
      </c>
      <c r="H43" s="177">
        <v>0.96</v>
      </c>
      <c r="I43" s="178">
        <v>0.8</v>
      </c>
      <c r="J43" s="179">
        <v>0.88</v>
      </c>
      <c r="N43" s="182" t="s">
        <v>53</v>
      </c>
      <c r="O43" s="188">
        <f t="shared" si="1"/>
        <v>0.9</v>
      </c>
    </row>
    <row r="44" spans="7:15" ht="16.5" thickBot="1" x14ac:dyDescent="0.3">
      <c r="G44" s="176" t="s">
        <v>114</v>
      </c>
      <c r="H44" s="177">
        <v>0.96</v>
      </c>
      <c r="I44" s="178">
        <v>0.8</v>
      </c>
      <c r="J44" s="179">
        <v>0.88</v>
      </c>
      <c r="N44" s="182" t="s">
        <v>61</v>
      </c>
      <c r="O44" s="188">
        <f t="shared" si="1"/>
        <v>0.97</v>
      </c>
    </row>
    <row r="45" spans="7:15" ht="16.5" thickBot="1" x14ac:dyDescent="0.3">
      <c r="G45" s="176" t="s">
        <v>108</v>
      </c>
      <c r="H45" s="177">
        <v>0.96</v>
      </c>
      <c r="I45" s="178">
        <v>0.8</v>
      </c>
      <c r="J45" s="179">
        <v>0.88</v>
      </c>
      <c r="N45" s="182" t="s">
        <v>107</v>
      </c>
      <c r="O45" s="188">
        <f t="shared" si="1"/>
        <v>0.95</v>
      </c>
    </row>
    <row r="46" spans="7:15" ht="16.5" thickBot="1" x14ac:dyDescent="0.3">
      <c r="G46" s="176" t="s">
        <v>117</v>
      </c>
      <c r="H46" s="177">
        <v>0.96</v>
      </c>
      <c r="I46" s="178">
        <v>0.8</v>
      </c>
      <c r="J46" s="179">
        <v>0.88</v>
      </c>
      <c r="N46" s="182" t="s">
        <v>104</v>
      </c>
      <c r="O46" s="188">
        <f t="shared" si="1"/>
        <v>0.96</v>
      </c>
    </row>
    <row r="47" spans="7:15" ht="16.5" thickBot="1" x14ac:dyDescent="0.3">
      <c r="G47" s="176" t="s">
        <v>119</v>
      </c>
      <c r="H47" s="177">
        <v>0.96</v>
      </c>
      <c r="I47" s="178">
        <v>0.8</v>
      </c>
      <c r="J47" s="179">
        <v>0.88</v>
      </c>
      <c r="N47" s="182" t="s">
        <v>83</v>
      </c>
      <c r="O47" s="188">
        <f t="shared" si="1"/>
        <v>0.98</v>
      </c>
    </row>
    <row r="48" spans="7:15" ht="16.5" thickBot="1" x14ac:dyDescent="0.3">
      <c r="G48" s="176" t="s">
        <v>57</v>
      </c>
      <c r="H48" s="177">
        <v>0.95</v>
      </c>
      <c r="I48" s="178">
        <v>1</v>
      </c>
      <c r="J48" s="179">
        <v>0.97499999999999998</v>
      </c>
      <c r="N48" s="182" t="s">
        <v>98</v>
      </c>
      <c r="O48" s="188">
        <f t="shared" si="1"/>
        <v>0.96</v>
      </c>
    </row>
    <row r="49" spans="7:15" ht="16.5" thickBot="1" x14ac:dyDescent="0.3">
      <c r="G49" s="176" t="s">
        <v>54</v>
      </c>
      <c r="H49" s="177">
        <v>0.95</v>
      </c>
      <c r="I49" s="178">
        <v>1</v>
      </c>
      <c r="J49" s="179">
        <v>0.97499999999999998</v>
      </c>
      <c r="N49" s="182" t="s">
        <v>54</v>
      </c>
      <c r="O49" s="188">
        <f t="shared" si="1"/>
        <v>0.95</v>
      </c>
    </row>
    <row r="50" spans="7:15" ht="16.5" thickBot="1" x14ac:dyDescent="0.3">
      <c r="G50" s="176" t="s">
        <v>63</v>
      </c>
      <c r="H50" s="177">
        <v>0.95</v>
      </c>
      <c r="I50" s="178">
        <v>0.96</v>
      </c>
      <c r="J50" s="179">
        <v>0.95499999999999996</v>
      </c>
      <c r="N50" s="182" t="s">
        <v>88</v>
      </c>
      <c r="O50" s="188">
        <f t="shared" si="1"/>
        <v>0.95</v>
      </c>
    </row>
    <row r="51" spans="7:15" ht="16.5" thickBot="1" x14ac:dyDescent="0.3">
      <c r="G51" s="176" t="s">
        <v>65</v>
      </c>
      <c r="H51" s="177">
        <v>0.95</v>
      </c>
      <c r="I51" s="178">
        <v>0.96</v>
      </c>
      <c r="J51" s="179">
        <v>0.95499999999999996</v>
      </c>
      <c r="N51" s="182" t="s">
        <v>110</v>
      </c>
      <c r="O51" s="188">
        <f t="shared" si="1"/>
        <v>0.93</v>
      </c>
    </row>
    <row r="52" spans="7:15" ht="16.5" thickBot="1" x14ac:dyDescent="0.3">
      <c r="G52" s="176" t="s">
        <v>88</v>
      </c>
      <c r="H52" s="177">
        <v>0.95</v>
      </c>
      <c r="I52" s="178">
        <v>0.88</v>
      </c>
      <c r="J52" s="179">
        <v>0.91500000000000004</v>
      </c>
      <c r="N52" s="182" t="s">
        <v>89</v>
      </c>
      <c r="O52" s="188">
        <f t="shared" si="1"/>
        <v>0.96</v>
      </c>
    </row>
    <row r="53" spans="7:15" ht="16.5" thickBot="1" x14ac:dyDescent="0.3">
      <c r="G53" s="176" t="s">
        <v>81</v>
      </c>
      <c r="H53" s="177">
        <v>0.95</v>
      </c>
      <c r="I53" s="178">
        <v>0.88</v>
      </c>
      <c r="J53" s="179">
        <v>0.91500000000000004</v>
      </c>
      <c r="N53" s="182" t="s">
        <v>112</v>
      </c>
      <c r="O53" s="188">
        <f t="shared" si="1"/>
        <v>0.97</v>
      </c>
    </row>
    <row r="54" spans="7:15" ht="16.5" thickBot="1" x14ac:dyDescent="0.3">
      <c r="G54" s="176" t="s">
        <v>84</v>
      </c>
      <c r="H54" s="177">
        <v>0.95</v>
      </c>
      <c r="I54" s="178">
        <v>0.88</v>
      </c>
      <c r="J54" s="179">
        <v>0.91500000000000004</v>
      </c>
      <c r="N54" s="182" t="s">
        <v>55</v>
      </c>
      <c r="O54" s="188">
        <f t="shared" si="1"/>
        <v>0.86</v>
      </c>
    </row>
    <row r="55" spans="7:15" ht="16.5" thickBot="1" x14ac:dyDescent="0.3">
      <c r="G55" s="176" t="s">
        <v>99</v>
      </c>
      <c r="H55" s="177">
        <v>0.95</v>
      </c>
      <c r="I55" s="178">
        <v>0.88</v>
      </c>
      <c r="J55" s="179">
        <v>0.91500000000000004</v>
      </c>
      <c r="N55" s="182" t="s">
        <v>45</v>
      </c>
      <c r="O55" s="188">
        <f t="shared" si="1"/>
        <v>0.96</v>
      </c>
    </row>
    <row r="56" spans="7:15" ht="16.5" thickBot="1" x14ac:dyDescent="0.3">
      <c r="G56" s="176" t="s">
        <v>102</v>
      </c>
      <c r="H56" s="177">
        <v>0.95</v>
      </c>
      <c r="I56" s="178">
        <v>0.88</v>
      </c>
      <c r="J56" s="179">
        <v>0.91500000000000004</v>
      </c>
      <c r="N56" s="182" t="s">
        <v>76</v>
      </c>
      <c r="O56" s="188">
        <f t="shared" si="1"/>
        <v>0.96</v>
      </c>
    </row>
    <row r="57" spans="7:15" ht="16.5" thickBot="1" x14ac:dyDescent="0.3">
      <c r="G57" s="176" t="s">
        <v>106</v>
      </c>
      <c r="H57" s="177">
        <v>0.95</v>
      </c>
      <c r="I57" s="178">
        <v>0.84</v>
      </c>
      <c r="J57" s="179">
        <v>0.89500000000000002</v>
      </c>
      <c r="N57" s="182" t="s">
        <v>72</v>
      </c>
      <c r="O57" s="188">
        <f t="shared" si="1"/>
        <v>0.97</v>
      </c>
    </row>
    <row r="58" spans="7:15" ht="16.5" thickBot="1" x14ac:dyDescent="0.3">
      <c r="G58" s="176" t="s">
        <v>107</v>
      </c>
      <c r="H58" s="177">
        <v>0.95</v>
      </c>
      <c r="I58" s="178">
        <v>0.84</v>
      </c>
      <c r="J58" s="179">
        <v>0.89500000000000002</v>
      </c>
      <c r="N58" s="182" t="s">
        <v>56</v>
      </c>
      <c r="O58" s="188">
        <f t="shared" si="1"/>
        <v>0.94</v>
      </c>
    </row>
    <row r="59" spans="7:15" ht="16.5" thickBot="1" x14ac:dyDescent="0.3">
      <c r="G59" s="176" t="s">
        <v>44</v>
      </c>
      <c r="H59" s="177">
        <v>0.94</v>
      </c>
      <c r="I59" s="178">
        <v>1</v>
      </c>
      <c r="J59" s="179">
        <v>0.97</v>
      </c>
      <c r="N59" s="182" t="s">
        <v>73</v>
      </c>
      <c r="O59" s="188">
        <f t="shared" si="1"/>
        <v>0.98</v>
      </c>
    </row>
    <row r="60" spans="7:15" ht="16.5" thickBot="1" x14ac:dyDescent="0.3">
      <c r="G60" s="176" t="s">
        <v>48</v>
      </c>
      <c r="H60" s="177">
        <v>0.94</v>
      </c>
      <c r="I60" s="178">
        <v>1</v>
      </c>
      <c r="J60" s="179">
        <v>0.97</v>
      </c>
      <c r="N60" s="182" t="s">
        <v>46</v>
      </c>
      <c r="O60" s="188">
        <f t="shared" si="1"/>
        <v>0.93</v>
      </c>
    </row>
    <row r="61" spans="7:15" ht="16.5" thickBot="1" x14ac:dyDescent="0.3">
      <c r="G61" s="176" t="s">
        <v>56</v>
      </c>
      <c r="H61" s="177">
        <v>0.94</v>
      </c>
      <c r="I61" s="178">
        <v>1</v>
      </c>
      <c r="J61" s="179">
        <v>0.97</v>
      </c>
      <c r="N61" s="182" t="s">
        <v>59</v>
      </c>
      <c r="O61" s="188">
        <f t="shared" si="1"/>
        <v>0.91</v>
      </c>
    </row>
    <row r="62" spans="7:15" ht="16.5" thickBot="1" x14ac:dyDescent="0.3">
      <c r="G62" s="176" t="s">
        <v>62</v>
      </c>
      <c r="H62" s="177">
        <v>0.94</v>
      </c>
      <c r="I62" s="178">
        <v>1</v>
      </c>
      <c r="J62" s="179">
        <v>0.97</v>
      </c>
      <c r="N62" s="182" t="s">
        <v>80</v>
      </c>
      <c r="O62" s="188">
        <f t="shared" si="1"/>
        <v>1</v>
      </c>
    </row>
    <row r="63" spans="7:15" ht="16.5" thickBot="1" x14ac:dyDescent="0.3">
      <c r="G63" s="176" t="s">
        <v>58</v>
      </c>
      <c r="H63" s="177">
        <v>0.94</v>
      </c>
      <c r="I63" s="178">
        <v>1</v>
      </c>
      <c r="J63" s="179">
        <v>0.97</v>
      </c>
      <c r="N63" s="182" t="s">
        <v>90</v>
      </c>
      <c r="O63" s="188">
        <f t="shared" si="1"/>
        <v>0.96</v>
      </c>
    </row>
    <row r="64" spans="7:15" ht="16.5" thickBot="1" x14ac:dyDescent="0.3">
      <c r="G64" s="176" t="s">
        <v>64</v>
      </c>
      <c r="H64" s="177">
        <v>0.94</v>
      </c>
      <c r="I64" s="178">
        <v>0.96</v>
      </c>
      <c r="J64" s="179">
        <v>0.95</v>
      </c>
      <c r="N64" s="182" t="s">
        <v>91</v>
      </c>
      <c r="O64" s="188">
        <f t="shared" si="1"/>
        <v>0.97</v>
      </c>
    </row>
    <row r="65" spans="7:15" ht="16.5" thickBot="1" x14ac:dyDescent="0.3">
      <c r="G65" s="176" t="s">
        <v>96</v>
      </c>
      <c r="H65" s="177">
        <v>0.94</v>
      </c>
      <c r="I65" s="178">
        <v>0.88</v>
      </c>
      <c r="J65" s="179">
        <v>0.90999999999999992</v>
      </c>
      <c r="N65" s="182" t="s">
        <v>74</v>
      </c>
      <c r="O65" s="188">
        <f t="shared" si="1"/>
        <v>0.97</v>
      </c>
    </row>
    <row r="66" spans="7:15" ht="16.5" thickBot="1" x14ac:dyDescent="0.3">
      <c r="G66" s="176" t="s">
        <v>86</v>
      </c>
      <c r="H66" s="177">
        <v>0.94</v>
      </c>
      <c r="I66" s="178">
        <v>0.88</v>
      </c>
      <c r="J66" s="179">
        <v>0.90999999999999992</v>
      </c>
      <c r="N66" s="182" t="s">
        <v>84</v>
      </c>
      <c r="O66" s="188">
        <f t="shared" si="1"/>
        <v>0.95</v>
      </c>
    </row>
    <row r="67" spans="7:15" ht="16.5" thickBot="1" x14ac:dyDescent="0.3">
      <c r="G67" s="176" t="s">
        <v>87</v>
      </c>
      <c r="H67" s="177">
        <v>0.94</v>
      </c>
      <c r="I67" s="178">
        <v>0.88</v>
      </c>
      <c r="J67" s="179">
        <v>0.90999999999999992</v>
      </c>
      <c r="N67" s="182" t="s">
        <v>99</v>
      </c>
      <c r="O67" s="188">
        <f t="shared" si="1"/>
        <v>0.95</v>
      </c>
    </row>
    <row r="68" spans="7:15" ht="16.5" thickBot="1" x14ac:dyDescent="0.3">
      <c r="G68" s="176" t="s">
        <v>115</v>
      </c>
      <c r="H68" s="177">
        <v>0.94</v>
      </c>
      <c r="I68" s="178">
        <v>0.8</v>
      </c>
      <c r="J68" s="179">
        <v>0.87</v>
      </c>
      <c r="N68" s="182" t="s">
        <v>62</v>
      </c>
      <c r="O68" s="188">
        <f t="shared" si="1"/>
        <v>0.94</v>
      </c>
    </row>
    <row r="69" spans="7:15" ht="16.5" thickBot="1" x14ac:dyDescent="0.3">
      <c r="G69" s="176" t="s">
        <v>118</v>
      </c>
      <c r="H69" s="177">
        <v>0.94</v>
      </c>
      <c r="I69" s="178">
        <v>0.8</v>
      </c>
      <c r="J69" s="179">
        <v>0.87</v>
      </c>
      <c r="N69" s="182" t="s">
        <v>47</v>
      </c>
      <c r="O69" s="188">
        <f t="shared" si="1"/>
        <v>0.96</v>
      </c>
    </row>
    <row r="70" spans="7:15" ht="16.5" thickBot="1" x14ac:dyDescent="0.3">
      <c r="G70" s="176" t="s">
        <v>46</v>
      </c>
      <c r="H70" s="177">
        <v>0.93</v>
      </c>
      <c r="I70" s="178">
        <v>1</v>
      </c>
      <c r="J70" s="179">
        <v>0.96500000000000008</v>
      </c>
      <c r="N70" s="182" t="s">
        <v>92</v>
      </c>
      <c r="O70" s="188">
        <f t="shared" si="1"/>
        <v>0.99</v>
      </c>
    </row>
    <row r="71" spans="7:15" ht="16.5" thickBot="1" x14ac:dyDescent="0.3">
      <c r="G71" s="176" t="s">
        <v>79</v>
      </c>
      <c r="H71" s="177">
        <v>0.93</v>
      </c>
      <c r="I71" s="178">
        <v>0.92</v>
      </c>
      <c r="J71" s="179">
        <v>0.92500000000000004</v>
      </c>
      <c r="N71" s="182" t="s">
        <v>116</v>
      </c>
      <c r="O71" s="188">
        <f t="shared" si="1"/>
        <v>0.97</v>
      </c>
    </row>
    <row r="72" spans="7:15" ht="16.5" thickBot="1" x14ac:dyDescent="0.3">
      <c r="G72" s="176" t="s">
        <v>95</v>
      </c>
      <c r="H72" s="177">
        <v>0.93</v>
      </c>
      <c r="I72" s="178">
        <v>0.88</v>
      </c>
      <c r="J72" s="179">
        <v>0.90500000000000003</v>
      </c>
      <c r="N72" s="182" t="s">
        <v>77</v>
      </c>
      <c r="O72" s="188">
        <f t="shared" si="1"/>
        <v>0.97</v>
      </c>
    </row>
    <row r="73" spans="7:15" ht="16.5" thickBot="1" x14ac:dyDescent="0.3">
      <c r="G73" s="176" t="s">
        <v>110</v>
      </c>
      <c r="H73" s="177">
        <v>0.93</v>
      </c>
      <c r="I73" s="178">
        <v>0.84</v>
      </c>
      <c r="J73" s="179">
        <v>0.88500000000000001</v>
      </c>
      <c r="N73" s="182" t="s">
        <v>41</v>
      </c>
      <c r="O73" s="188">
        <f t="shared" si="1"/>
        <v>0.98</v>
      </c>
    </row>
    <row r="74" spans="7:15" ht="16.5" thickBot="1" x14ac:dyDescent="0.3">
      <c r="G74" s="176" t="s">
        <v>49</v>
      </c>
      <c r="H74" s="177">
        <v>0.92</v>
      </c>
      <c r="I74" s="178">
        <v>1</v>
      </c>
      <c r="J74" s="179">
        <v>0.96</v>
      </c>
      <c r="N74" s="182" t="s">
        <v>105</v>
      </c>
      <c r="O74" s="188">
        <f t="shared" si="1"/>
        <v>0.98</v>
      </c>
    </row>
    <row r="75" spans="7:15" ht="16.5" thickBot="1" x14ac:dyDescent="0.3">
      <c r="G75" s="176" t="s">
        <v>50</v>
      </c>
      <c r="H75" s="177">
        <v>0.92</v>
      </c>
      <c r="I75" s="178">
        <v>1</v>
      </c>
      <c r="J75" s="179">
        <v>0.96</v>
      </c>
      <c r="N75" s="182" t="s">
        <v>66</v>
      </c>
      <c r="O75" s="188">
        <f t="shared" si="1"/>
        <v>0.9</v>
      </c>
    </row>
    <row r="76" spans="7:15" ht="16.5" thickBot="1" x14ac:dyDescent="0.3">
      <c r="G76" s="176" t="s">
        <v>51</v>
      </c>
      <c r="H76" s="177">
        <v>0.92</v>
      </c>
      <c r="I76" s="178">
        <v>1</v>
      </c>
      <c r="J76" s="179">
        <v>0.96</v>
      </c>
      <c r="N76" s="182" t="s">
        <v>67</v>
      </c>
      <c r="O76" s="188">
        <f t="shared" si="1"/>
        <v>0.96</v>
      </c>
    </row>
    <row r="77" spans="7:15" ht="16.5" thickBot="1" x14ac:dyDescent="0.3">
      <c r="G77" s="176" t="s">
        <v>59</v>
      </c>
      <c r="H77" s="177">
        <v>0.91</v>
      </c>
      <c r="I77" s="178">
        <v>1</v>
      </c>
      <c r="J77" s="179">
        <v>0.95500000000000007</v>
      </c>
      <c r="N77" s="182" t="s">
        <v>57</v>
      </c>
      <c r="O77" s="188">
        <f t="shared" si="1"/>
        <v>0.95</v>
      </c>
    </row>
    <row r="78" spans="7:15" ht="16.5" thickBot="1" x14ac:dyDescent="0.3">
      <c r="G78" s="176" t="s">
        <v>120</v>
      </c>
      <c r="H78" s="177">
        <v>0.91</v>
      </c>
      <c r="I78" s="178">
        <v>0.8</v>
      </c>
      <c r="J78" s="179">
        <v>0.85499999999999998</v>
      </c>
      <c r="N78" s="182" t="s">
        <v>117</v>
      </c>
      <c r="O78" s="188">
        <f t="shared" si="1"/>
        <v>0.96</v>
      </c>
    </row>
    <row r="79" spans="7:15" ht="16.5" thickBot="1" x14ac:dyDescent="0.3">
      <c r="G79" s="176" t="s">
        <v>53</v>
      </c>
      <c r="H79" s="177">
        <v>0.9</v>
      </c>
      <c r="I79" s="178">
        <v>1</v>
      </c>
      <c r="J79" s="179">
        <v>0.95</v>
      </c>
      <c r="N79" s="182" t="s">
        <v>93</v>
      </c>
      <c r="O79" s="188">
        <f t="shared" si="1"/>
        <v>0.96</v>
      </c>
    </row>
    <row r="80" spans="7:15" ht="16.5" thickBot="1" x14ac:dyDescent="0.3">
      <c r="G80" s="176" t="s">
        <v>66</v>
      </c>
      <c r="H80" s="177">
        <v>0.9</v>
      </c>
      <c r="I80" s="178">
        <v>0.96</v>
      </c>
      <c r="J80" s="179">
        <v>0.92999999999999994</v>
      </c>
      <c r="N80" s="182" t="s">
        <v>42</v>
      </c>
      <c r="O80" s="188">
        <f t="shared" si="1"/>
        <v>1</v>
      </c>
    </row>
    <row r="81" spans="7:15" ht="16.5" thickBot="1" x14ac:dyDescent="0.3">
      <c r="G81" s="176" t="s">
        <v>55</v>
      </c>
      <c r="H81" s="177">
        <v>0.86</v>
      </c>
      <c r="I81" s="178">
        <v>1</v>
      </c>
      <c r="J81" s="179">
        <v>0.92999999999999994</v>
      </c>
      <c r="N81" s="182" t="s">
        <v>120</v>
      </c>
      <c r="O81" s="188">
        <f t="shared" si="1"/>
        <v>0.91</v>
      </c>
    </row>
    <row r="82" spans="7:15" ht="16.5" thickBot="1" x14ac:dyDescent="0.3">
      <c r="G82" s="176" t="s">
        <v>60</v>
      </c>
      <c r="H82" s="177">
        <v>0.85</v>
      </c>
      <c r="I82" s="178">
        <v>1</v>
      </c>
      <c r="J82" s="179">
        <v>0.92500000000000004</v>
      </c>
      <c r="N82" s="182" t="s">
        <v>85</v>
      </c>
      <c r="O82" s="188">
        <f t="shared" si="1"/>
        <v>0.97</v>
      </c>
    </row>
    <row r="83" spans="7:15" ht="16.5" thickBot="1" x14ac:dyDescent="0.3">
      <c r="N83" s="182" t="s">
        <v>79</v>
      </c>
      <c r="O83" s="188">
        <f t="shared" si="1"/>
        <v>0.93</v>
      </c>
    </row>
  </sheetData>
  <sortState ref="G2:J82">
    <sortCondition descending="1" ref="H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36</vt:i4>
      </vt:variant>
      <vt:variant>
        <vt:lpstr>Adlandırılmış Aralıklar</vt:lpstr>
      </vt:variant>
      <vt:variant>
        <vt:i4>12</vt:i4>
      </vt:variant>
    </vt:vector>
  </HeadingPairs>
  <TitlesOfParts>
    <vt:vector size="48" baseType="lpstr">
      <vt:lpstr>Sayfa1</vt:lpstr>
      <vt:lpstr>Sayfa2</vt:lpstr>
      <vt:lpstr>Yeni Katsayı Birlikler</vt:lpstr>
      <vt:lpstr>Tablo</vt:lpstr>
      <vt:lpstr>Ücret  </vt:lpstr>
      <vt:lpstr>Katsayı</vt:lpstr>
      <vt:lpstr>Yeni Katsayı Sağlık Tesisi</vt:lpstr>
      <vt:lpstr>Yeni Katsayı Dişük (0,5)</vt:lpstr>
      <vt:lpstr>Sayfa3</vt:lpstr>
      <vt:lpstr>Sayfa4</vt:lpstr>
      <vt:lpstr>BBB</vt:lpstr>
      <vt:lpstr>STT</vt:lpstr>
      <vt:lpstr>Sayfa5</vt:lpstr>
      <vt:lpstr>Sayfa7</vt:lpstr>
      <vt:lpstr>Sayfa6</vt:lpstr>
      <vt:lpstr>Sayfa8</vt:lpstr>
      <vt:lpstr>Başkan Sunum</vt:lpstr>
      <vt:lpstr>Başkan S - ST</vt:lpstr>
      <vt:lpstr>Başkan S - B</vt:lpstr>
      <vt:lpstr>Sayfa10</vt:lpstr>
      <vt:lpstr>Sayfa11</vt:lpstr>
      <vt:lpstr>Sayfa12</vt:lpstr>
      <vt:lpstr>0,65'e Göre</vt:lpstr>
      <vt:lpstr>0,65 - 1'e Göre</vt:lpstr>
      <vt:lpstr>0,70'e Göre</vt:lpstr>
      <vt:lpstr>0,70 - 1 'e Göre</vt:lpstr>
      <vt:lpstr>Sayfa16</vt:lpstr>
      <vt:lpstr>Sayfa17</vt:lpstr>
      <vt:lpstr>Sayfa9</vt:lpstr>
      <vt:lpstr>MERKEZ  </vt:lpstr>
      <vt:lpstr>Sayfa14</vt:lpstr>
      <vt:lpstr>ANA  16.11 Cuma</vt:lpstr>
      <vt:lpstr>Yazıcı</vt:lpstr>
      <vt:lpstr>Sayfa15</vt:lpstr>
      <vt:lpstr>Birlik</vt:lpstr>
      <vt:lpstr>Sağlık Tesisi</vt:lpstr>
      <vt:lpstr>'Başkan Sunum'!Yazdırma_Alanı</vt:lpstr>
      <vt:lpstr>Birlik!Yazdırma_Alanı</vt:lpstr>
      <vt:lpstr>'MERKEZ  '!Yazdırma_Alanı</vt:lpstr>
      <vt:lpstr>'Sağlık Tesisi'!Yazdırma_Alanı</vt:lpstr>
      <vt:lpstr>Sayfa14!Yazdırma_Alanı</vt:lpstr>
      <vt:lpstr>Sayfa2!Yazdırma_Alanı</vt:lpstr>
      <vt:lpstr>Sayfa8!Yazdırma_Alanı</vt:lpstr>
      <vt:lpstr>Yazıcı!Yazdırma_Alanı</vt:lpstr>
      <vt:lpstr>'Yeni Katsayı Birlikler'!Yazdırma_Alanı</vt:lpstr>
      <vt:lpstr>'Yeni Katsayı Dişük (0,5)'!Yazdırma_Alanı</vt:lpstr>
      <vt:lpstr>'Yeni Katsayı Sağlık Tesisi'!Yazdırma_Alanı</vt:lpstr>
      <vt:lpstr>Sayfa14!Yazdırma_Başlıkları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ŞEKER</dc:creator>
  <cp:lastModifiedBy>esma tekin</cp:lastModifiedBy>
  <cp:lastPrinted>2012-11-28T10:08:49Z</cp:lastPrinted>
  <dcterms:created xsi:type="dcterms:W3CDTF">2012-10-29T12:13:50Z</dcterms:created>
  <dcterms:modified xsi:type="dcterms:W3CDTF">2012-11-29T14:43:36Z</dcterms:modified>
</cp:coreProperties>
</file>